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defaultThemeVersion="166925"/>
  <mc:AlternateContent xmlns:mc="http://schemas.openxmlformats.org/markup-compatibility/2006">
    <mc:Choice Requires="x15">
      <x15ac:absPath xmlns:x15ac="http://schemas.microsoft.com/office/spreadsheetml/2010/11/ac" url="C:\Users\PC\Desktop\PAIE 2026\MALADIE MATERNITE AT\DOSSIER 1 MALADIE\"/>
    </mc:Choice>
  </mc:AlternateContent>
  <xr:revisionPtr revIDLastSave="0" documentId="13_ncr:1_{ED979D95-316F-4188-99B0-A649F83AF23C}" xr6:coauthVersionLast="47" xr6:coauthVersionMax="47" xr10:uidLastSave="{00000000-0000-0000-0000-000000000000}"/>
  <bookViews>
    <workbookView xWindow="-120" yWindow="-120" windowWidth="20730" windowHeight="11040" firstSheet="3" activeTab="4" xr2:uid="{00000000-000D-0000-FFFF-FFFF00000000}"/>
  </bookViews>
  <sheets>
    <sheet name="Enoncé" sheetId="64" r:id="rId1"/>
    <sheet name="Correction " sheetId="66" r:id="rId2"/>
    <sheet name="Masque de Saisie" sheetId="55" r:id="rId3"/>
    <sheet name="MATRICE IJSS ABSENCE " sheetId="65" r:id="rId4"/>
    <sheet name="RGDU BP JANVIER " sheetId="69" r:id="rId5"/>
    <sheet name="BP VERSION JANVIER 2023" sheetId="31" r:id="rId6"/>
    <sheet name="TABLE DES TAUX 2026 " sheetId="50" r:id="rId7"/>
    <sheet name="RGDU BP JUILLET " sheetId="68" r:id="rId8"/>
    <sheet name="BP FORMAT JUILLET 2023" sheetId="51" r:id="rId9"/>
    <sheet name="FEUILLE DE CONTROLE " sheetId="67" r:id="rId10"/>
    <sheet name="HEURES SUPPLEMENTAIRES " sheetId="33" r:id="rId11"/>
    <sheet name="TAUX NEUTRE " sheetId="24" r:id="rId12"/>
  </sheets>
  <externalReferences>
    <externalReference r:id="rId13"/>
    <externalReference r:id="rId14"/>
    <externalReference r:id="rId15"/>
  </externalReferences>
  <definedNames>
    <definedName name="TABLE2019">#REF!</definedName>
    <definedName name="TABLE201NN">#REF!</definedName>
    <definedName name="TABLE20NN">#REF!</definedName>
    <definedName name="TABLETAUX">#REF!</definedName>
    <definedName name="TAUX2023">'TABLE DES TAUX 2026 '!$B$1:$E$58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4" i="69" l="1"/>
  <c r="C44" i="68"/>
  <c r="C42" i="69"/>
  <c r="C43" i="69" s="1"/>
  <c r="C42" i="68"/>
  <c r="C43" i="68" s="1"/>
  <c r="C45" i="68" s="1"/>
  <c r="H11" i="24"/>
  <c r="E50" i="24"/>
  <c r="E49" i="24"/>
  <c r="E48" i="24"/>
  <c r="E47" i="24"/>
  <c r="E46" i="24"/>
  <c r="E45" i="24"/>
  <c r="E44" i="24"/>
  <c r="E43" i="24"/>
  <c r="E42" i="24"/>
  <c r="E41" i="24"/>
  <c r="E40" i="24"/>
  <c r="E39" i="24"/>
  <c r="E38" i="24"/>
  <c r="E37" i="24"/>
  <c r="E36" i="24"/>
  <c r="E35" i="24"/>
  <c r="E34" i="24"/>
  <c r="E33" i="24"/>
  <c r="E32" i="24"/>
  <c r="E31" i="24"/>
  <c r="E51" i="24" s="1"/>
  <c r="B26" i="24"/>
  <c r="B25" i="24"/>
  <c r="B24" i="24"/>
  <c r="B23" i="24"/>
  <c r="B22" i="24"/>
  <c r="B21" i="24"/>
  <c r="B20" i="24"/>
  <c r="B19" i="24"/>
  <c r="B18" i="24"/>
  <c r="B17" i="24"/>
  <c r="B16" i="24"/>
  <c r="B15" i="24"/>
  <c r="B14" i="24"/>
  <c r="B13" i="24"/>
  <c r="B12" i="24"/>
  <c r="B11" i="24"/>
  <c r="B10" i="24"/>
  <c r="B9" i="24"/>
  <c r="B8" i="24"/>
  <c r="E23" i="69"/>
  <c r="E22" i="69"/>
  <c r="E23" i="68"/>
  <c r="E22" i="68"/>
  <c r="G27" i="67"/>
  <c r="G26" i="67"/>
  <c r="D83" i="31"/>
  <c r="F77" i="31"/>
  <c r="D89" i="51"/>
  <c r="F83" i="51"/>
  <c r="I66" i="66"/>
  <c r="C51" i="65"/>
  <c r="C46" i="65"/>
  <c r="C52" i="65" s="1"/>
  <c r="C43" i="65"/>
  <c r="C42" i="65"/>
  <c r="C55" i="65" s="1"/>
  <c r="C41" i="65"/>
  <c r="C40" i="65"/>
  <c r="C44" i="65" s="1"/>
  <c r="C39" i="65"/>
  <c r="F24" i="65"/>
  <c r="F25" i="65" s="1"/>
  <c r="C16" i="65"/>
  <c r="C11" i="65"/>
  <c r="H42" i="66"/>
  <c r="E42" i="66"/>
  <c r="C45" i="65"/>
  <c r="C14" i="65"/>
  <c r="C58" i="65"/>
  <c r="C45" i="69" l="1"/>
  <c r="E21" i="24"/>
  <c r="E13" i="24"/>
  <c r="E8" i="24"/>
  <c r="E23" i="24"/>
  <c r="E15" i="24"/>
  <c r="E10" i="24"/>
  <c r="E25" i="24"/>
  <c r="E17" i="24"/>
  <c r="E12" i="24"/>
  <c r="E7" i="24"/>
  <c r="E19" i="24"/>
  <c r="E9" i="24"/>
  <c r="E14" i="24"/>
  <c r="E22" i="24"/>
  <c r="E20" i="24"/>
  <c r="E18" i="24"/>
  <c r="E26" i="24"/>
  <c r="E11" i="24"/>
  <c r="E16" i="24"/>
  <c r="E24" i="24"/>
  <c r="F26" i="65"/>
  <c r="G26" i="65" s="1"/>
  <c r="G25" i="65"/>
  <c r="C15" i="65"/>
  <c r="C47" i="65"/>
  <c r="C61" i="65" s="1"/>
  <c r="C56" i="65"/>
  <c r="C59" i="65"/>
  <c r="C50" i="65"/>
  <c r="C54" i="65"/>
  <c r="C13" i="65"/>
  <c r="G29" i="65" s="1"/>
  <c r="G24" i="65"/>
  <c r="G27" i="65" s="1"/>
  <c r="G28" i="65" s="1"/>
  <c r="G30" i="65" s="1"/>
  <c r="C53" i="65"/>
  <c r="C57" i="65"/>
  <c r="E27" i="24" l="1"/>
  <c r="H12" i="24" s="1"/>
  <c r="C60" i="65"/>
  <c r="G31" i="65"/>
  <c r="G34" i="65" s="1"/>
  <c r="G33" i="65"/>
  <c r="G32" i="65"/>
  <c r="E20" i="69" l="1"/>
  <c r="E20" i="68"/>
  <c r="F79" i="50"/>
  <c r="E79" i="50"/>
  <c r="F73" i="50"/>
  <c r="E73" i="50"/>
  <c r="D73" i="50"/>
  <c r="C73" i="50"/>
  <c r="F60" i="50"/>
  <c r="D60" i="50"/>
  <c r="F57" i="50"/>
  <c r="D57" i="50"/>
  <c r="D130" i="51" l="1"/>
  <c r="D129" i="51"/>
  <c r="F86" i="66" l="1"/>
  <c r="C28" i="64"/>
  <c r="E50" i="55"/>
  <c r="I60" i="66" l="1"/>
  <c r="E43" i="55"/>
  <c r="J111" i="66" l="1"/>
  <c r="E101" i="66"/>
  <c r="J112" i="66"/>
  <c r="F111" i="66"/>
  <c r="E100" i="66"/>
  <c r="F112" i="66"/>
  <c r="E49" i="55"/>
  <c r="E48" i="55"/>
  <c r="H22" i="55"/>
  <c r="F17" i="64"/>
  <c r="F16" i="64"/>
  <c r="F15" i="64"/>
  <c r="G21" i="31" l="1"/>
  <c r="J20" i="31"/>
  <c r="J19" i="31"/>
  <c r="J18" i="31"/>
  <c r="J13" i="31"/>
  <c r="I21" i="31" s="1"/>
  <c r="I13" i="31"/>
  <c r="G47" i="51"/>
  <c r="G48" i="51"/>
  <c r="F16" i="66"/>
  <c r="D371" i="66"/>
  <c r="E352" i="66"/>
  <c r="G348" i="66"/>
  <c r="G347" i="66"/>
  <c r="G346" i="66"/>
  <c r="G345" i="66"/>
  <c r="F341" i="66"/>
  <c r="E354" i="66" s="1"/>
  <c r="F337" i="66"/>
  <c r="F336" i="66"/>
  <c r="E330" i="66"/>
  <c r="G292" i="66"/>
  <c r="D285" i="66"/>
  <c r="H274" i="66"/>
  <c r="E238" i="66"/>
  <c r="F224" i="66"/>
  <c r="G220" i="66"/>
  <c r="J195" i="66"/>
  <c r="D183" i="66"/>
  <c r="F168" i="66"/>
  <c r="F164" i="66"/>
  <c r="I149" i="66"/>
  <c r="F155" i="66" s="1"/>
  <c r="I148" i="66"/>
  <c r="F154" i="66" s="1"/>
  <c r="E44" i="55"/>
  <c r="F18" i="66"/>
  <c r="F17" i="66"/>
  <c r="F81" i="51"/>
  <c r="G80" i="51"/>
  <c r="F80" i="51"/>
  <c r="G350" i="66" l="1"/>
  <c r="F338" i="66"/>
  <c r="E46" i="66"/>
  <c r="J21" i="31"/>
  <c r="F178" i="66"/>
  <c r="F172" i="66"/>
  <c r="F211" i="66"/>
  <c r="F216" i="66" s="1"/>
  <c r="I204" i="66"/>
  <c r="F234" i="66"/>
  <c r="F228" i="66"/>
  <c r="G366" i="66"/>
  <c r="I356" i="66"/>
  <c r="I47" i="66" l="1"/>
  <c r="I59" i="66"/>
  <c r="J194" i="66"/>
  <c r="I203" i="66" s="1"/>
  <c r="J23" i="51"/>
  <c r="J23" i="31"/>
  <c r="I61" i="66" l="1"/>
  <c r="J25" i="51" s="1"/>
  <c r="F72" i="66"/>
  <c r="F77" i="66" s="1"/>
  <c r="F210" i="66"/>
  <c r="F215" i="66" s="1"/>
  <c r="F73" i="66"/>
  <c r="I67" i="66"/>
  <c r="I68" i="66" s="1"/>
  <c r="F78" i="66" l="1"/>
  <c r="F74" i="66"/>
  <c r="J25" i="31" l="1"/>
  <c r="D185" i="66"/>
  <c r="G13" i="67"/>
  <c r="F79" i="66"/>
  <c r="E239" i="66"/>
  <c r="D184" i="66"/>
  <c r="G16" i="55"/>
  <c r="H15" i="55"/>
  <c r="G15" i="55"/>
  <c r="E240" i="66" l="1"/>
  <c r="D287" i="66" s="1"/>
  <c r="D186" i="66"/>
  <c r="D286" i="66"/>
  <c r="D110" i="31"/>
  <c r="E76" i="51"/>
  <c r="D76" i="51"/>
  <c r="E75" i="51"/>
  <c r="D75" i="51"/>
  <c r="E43" i="51"/>
  <c r="D43" i="51"/>
  <c r="E40" i="51"/>
  <c r="D40" i="51"/>
  <c r="E41" i="31"/>
  <c r="D41" i="31"/>
  <c r="E38" i="31"/>
  <c r="D38" i="31"/>
  <c r="E40" i="31"/>
  <c r="D40" i="31"/>
  <c r="E39" i="31"/>
  <c r="D39" i="31"/>
  <c r="G21" i="51"/>
  <c r="B145" i="33" s="1"/>
  <c r="E241" i="66" l="1"/>
  <c r="D288" i="66"/>
  <c r="C33" i="31"/>
  <c r="E89" i="33"/>
  <c r="E88" i="33"/>
  <c r="D10" i="51"/>
  <c r="D10" i="31"/>
  <c r="E42" i="31"/>
  <c r="E43" i="31"/>
  <c r="D43" i="31"/>
  <c r="E78" i="51"/>
  <c r="D78" i="51"/>
  <c r="D124" i="51"/>
  <c r="G11" i="31"/>
  <c r="J10" i="31"/>
  <c r="H10" i="31"/>
  <c r="E61" i="31" s="1"/>
  <c r="J9" i="31"/>
  <c r="I9" i="31"/>
  <c r="B9" i="31"/>
  <c r="E21" i="69" s="1"/>
  <c r="C36" i="69" s="1"/>
  <c r="G8" i="31"/>
  <c r="G7" i="31"/>
  <c r="B7" i="31"/>
  <c r="G6" i="31"/>
  <c r="B6" i="31"/>
  <c r="G5" i="31"/>
  <c r="G4" i="31"/>
  <c r="B4" i="31"/>
  <c r="G3" i="31"/>
  <c r="B3" i="31"/>
  <c r="E47" i="31"/>
  <c r="F75" i="31"/>
  <c r="G11" i="67" s="1"/>
  <c r="G74" i="31"/>
  <c r="F74" i="31"/>
  <c r="G10" i="67" s="1"/>
  <c r="E49" i="51"/>
  <c r="C33" i="51"/>
  <c r="C125" i="33" s="1"/>
  <c r="D129" i="33" s="1"/>
  <c r="J13" i="51"/>
  <c r="G11" i="51"/>
  <c r="J10" i="51"/>
  <c r="H10" i="51"/>
  <c r="E61" i="51" s="1"/>
  <c r="J9" i="51"/>
  <c r="I9" i="51"/>
  <c r="G7" i="51"/>
  <c r="G6" i="51"/>
  <c r="G5" i="51"/>
  <c r="G8" i="51"/>
  <c r="G4" i="51"/>
  <c r="G3" i="51"/>
  <c r="E118" i="55"/>
  <c r="F118" i="55" s="1"/>
  <c r="E117" i="55"/>
  <c r="F117" i="55" s="1"/>
  <c r="I21" i="51" l="1"/>
  <c r="I13" i="51"/>
  <c r="J33" i="31"/>
  <c r="E25" i="69" s="1"/>
  <c r="C38" i="69" s="1"/>
  <c r="J20" i="51"/>
  <c r="J19" i="51"/>
  <c r="J18" i="51"/>
  <c r="C38" i="31" l="1"/>
  <c r="G36" i="67"/>
  <c r="G17" i="67"/>
  <c r="G8" i="67"/>
  <c r="C43" i="31"/>
  <c r="G43" i="31" s="1"/>
  <c r="C113" i="31" s="1"/>
  <c r="C42" i="31"/>
  <c r="J21" i="51"/>
  <c r="J33" i="51" s="1"/>
  <c r="E25" i="68" l="1"/>
  <c r="C38" i="68" s="1"/>
  <c r="C53" i="51"/>
  <c r="C43" i="51"/>
  <c r="F90" i="66"/>
  <c r="F94" i="66" s="1"/>
  <c r="D54" i="51"/>
  <c r="E54" i="51"/>
  <c r="E53" i="51"/>
  <c r="D53" i="51"/>
  <c r="F43" i="31"/>
  <c r="E46" i="55"/>
  <c r="E85" i="33"/>
  <c r="B57" i="33"/>
  <c r="C78" i="51"/>
  <c r="B10" i="51" l="1"/>
  <c r="E24" i="68" s="1"/>
  <c r="C37" i="68" s="1"/>
  <c r="C39" i="68" s="1"/>
  <c r="C40" i="68" s="1"/>
  <c r="C41" i="68" s="1"/>
  <c r="G78" i="51"/>
  <c r="C127" i="51" s="1"/>
  <c r="F78" i="51"/>
  <c r="B10" i="31"/>
  <c r="E24" i="69" s="1"/>
  <c r="C37" i="69" s="1"/>
  <c r="C39" i="69" s="1"/>
  <c r="C40" i="69" s="1"/>
  <c r="C41" i="69" s="1"/>
  <c r="G71" i="31" s="1"/>
  <c r="E90" i="31"/>
  <c r="C39" i="31" l="1"/>
  <c r="B9" i="51"/>
  <c r="E21" i="68" s="1"/>
  <c r="C36" i="68" s="1"/>
  <c r="G71" i="51" s="1"/>
  <c r="B7" i="51"/>
  <c r="B6" i="51"/>
  <c r="B4" i="51"/>
  <c r="B3" i="51"/>
  <c r="E121" i="51"/>
  <c r="E90" i="33"/>
  <c r="D130" i="33" s="1"/>
  <c r="F44" i="33"/>
  <c r="F45" i="33"/>
  <c r="F46" i="33"/>
  <c r="F47" i="33"/>
  <c r="D108" i="31"/>
  <c r="D67" i="31"/>
  <c r="D70" i="31" s="1"/>
  <c r="D112" i="31"/>
  <c r="D113" i="31"/>
  <c r="E113" i="31" s="1"/>
  <c r="D114" i="31"/>
  <c r="D115" i="31"/>
  <c r="D116" i="31"/>
  <c r="D117" i="31"/>
  <c r="D118" i="31"/>
  <c r="D111" i="31"/>
  <c r="D109" i="31"/>
  <c r="C109" i="31"/>
  <c r="C118" i="31"/>
  <c r="D66" i="31"/>
  <c r="D68" i="31" s="1"/>
  <c r="D69" i="31" s="1"/>
  <c r="E63" i="31"/>
  <c r="D63" i="31"/>
  <c r="E58" i="31"/>
  <c r="E50" i="31"/>
  <c r="E49" i="31"/>
  <c r="D50" i="31"/>
  <c r="D49" i="31"/>
  <c r="E44" i="51"/>
  <c r="E36" i="31"/>
  <c r="C130" i="51" l="1"/>
  <c r="E130" i="51" s="1"/>
  <c r="C129" i="51"/>
  <c r="E129" i="51" s="1"/>
  <c r="E109" i="31"/>
  <c r="E118" i="31"/>
  <c r="C117" i="31"/>
  <c r="E117" i="31" s="1"/>
  <c r="C41" i="31" l="1"/>
  <c r="B90" i="31"/>
  <c r="F38" i="31"/>
  <c r="G38" i="31"/>
  <c r="C110" i="31"/>
  <c r="E110" i="31" s="1"/>
  <c r="C108" i="31"/>
  <c r="E108" i="31" s="1"/>
  <c r="C116" i="31"/>
  <c r="E116" i="31" s="1"/>
  <c r="C114" i="31"/>
  <c r="C111" i="31"/>
  <c r="E111" i="31" s="1"/>
  <c r="G39" i="51"/>
  <c r="G41" i="51"/>
  <c r="G42" i="51"/>
  <c r="G62" i="51"/>
  <c r="F39" i="51"/>
  <c r="F41" i="51"/>
  <c r="F42" i="51"/>
  <c r="F47" i="51"/>
  <c r="F48" i="51"/>
  <c r="F55" i="51"/>
  <c r="F56" i="51"/>
  <c r="F62" i="51"/>
  <c r="F71" i="51"/>
  <c r="D66" i="51"/>
  <c r="D67" i="51"/>
  <c r="D70" i="51" s="1"/>
  <c r="E63" i="51"/>
  <c r="D63" i="51"/>
  <c r="D127" i="51"/>
  <c r="E127" i="51" s="1"/>
  <c r="D123" i="51"/>
  <c r="D125" i="51"/>
  <c r="D126" i="51"/>
  <c r="D128" i="51"/>
  <c r="D131" i="51"/>
  <c r="D122" i="51"/>
  <c r="E58" i="51"/>
  <c r="E55" i="51"/>
  <c r="G55" i="51" s="1"/>
  <c r="E56" i="51"/>
  <c r="G56" i="51" s="1"/>
  <c r="E45" i="51"/>
  <c r="G45" i="51" s="1"/>
  <c r="E46" i="51"/>
  <c r="G46" i="51" s="1"/>
  <c r="E51" i="51"/>
  <c r="E52" i="51"/>
  <c r="E37" i="51"/>
  <c r="E51" i="31" l="1"/>
  <c r="G31" i="67"/>
  <c r="G19" i="67"/>
  <c r="D69" i="51"/>
  <c r="D68" i="51"/>
  <c r="C115" i="31"/>
  <c r="E115" i="31" s="1"/>
  <c r="E114" i="31"/>
  <c r="D52" i="51"/>
  <c r="D41" i="33" s="1"/>
  <c r="D45" i="51"/>
  <c r="F45" i="51" s="1"/>
  <c r="D46" i="51"/>
  <c r="F46" i="51" s="1"/>
  <c r="D51" i="51"/>
  <c r="D40" i="33" s="1"/>
  <c r="C111" i="51"/>
  <c r="C102" i="51"/>
  <c r="Q60" i="51"/>
  <c r="G37" i="67" l="1"/>
  <c r="C123" i="51" l="1"/>
  <c r="E123" i="51" s="1"/>
  <c r="C131" i="51"/>
  <c r="E131" i="51" s="1"/>
  <c r="C57" i="33" l="1"/>
  <c r="C49" i="67" l="1"/>
  <c r="E57" i="33"/>
  <c r="D42" i="33"/>
  <c r="D51" i="31"/>
  <c r="C75" i="51"/>
  <c r="C40" i="51"/>
  <c r="C44" i="51"/>
  <c r="E49" i="67"/>
  <c r="C61" i="51"/>
  <c r="C76" i="51"/>
  <c r="B95" i="51"/>
  <c r="C49" i="51"/>
  <c r="G49" i="51" s="1"/>
  <c r="C128" i="51"/>
  <c r="C124" i="51"/>
  <c r="E124" i="51" s="1"/>
  <c r="C58" i="51"/>
  <c r="G58" i="51" s="1"/>
  <c r="E52" i="31"/>
  <c r="C52" i="51"/>
  <c r="C51" i="51"/>
  <c r="C37" i="51"/>
  <c r="G37" i="51" s="1"/>
  <c r="C54" i="51"/>
  <c r="C125" i="51"/>
  <c r="E125" i="51" s="1"/>
  <c r="C122" i="51"/>
  <c r="E122" i="51" s="1"/>
  <c r="D110" i="51"/>
  <c r="D101" i="51"/>
  <c r="E91" i="33" l="1"/>
  <c r="D131" i="33"/>
  <c r="G57" i="33"/>
  <c r="D132" i="33" s="1"/>
  <c r="F44" i="51"/>
  <c r="G44" i="51"/>
  <c r="G40" i="51"/>
  <c r="F40" i="51"/>
  <c r="C72" i="51"/>
  <c r="B94" i="51" s="1"/>
  <c r="G43" i="51"/>
  <c r="F43" i="51"/>
  <c r="E43" i="33"/>
  <c r="G54" i="51"/>
  <c r="F54" i="51"/>
  <c r="E40" i="33"/>
  <c r="F40" i="33" s="1"/>
  <c r="G51" i="51"/>
  <c r="F51" i="51"/>
  <c r="E41" i="33"/>
  <c r="F41" i="33" s="1"/>
  <c r="G52" i="51"/>
  <c r="F52" i="51"/>
  <c r="E42" i="33"/>
  <c r="F42" i="33" s="1"/>
  <c r="G53" i="51"/>
  <c r="F53" i="51"/>
  <c r="D43" i="33"/>
  <c r="D52" i="31"/>
  <c r="E128" i="51"/>
  <c r="C63" i="51"/>
  <c r="G61" i="51"/>
  <c r="D102" i="51"/>
  <c r="D103" i="51" s="1"/>
  <c r="D111" i="51"/>
  <c r="E86" i="33" l="1"/>
  <c r="E87" i="33" s="1"/>
  <c r="J87" i="51"/>
  <c r="F43" i="33"/>
  <c r="F49" i="33" s="1"/>
  <c r="F50" i="33" s="1"/>
  <c r="F141" i="33"/>
  <c r="C72" i="31" s="1"/>
  <c r="D133" i="33"/>
  <c r="E98" i="33"/>
  <c r="G63" i="51"/>
  <c r="F63" i="51"/>
  <c r="F137" i="33" l="1"/>
  <c r="C68" i="51" s="1"/>
  <c r="F138" i="33"/>
  <c r="C69" i="51" s="1"/>
  <c r="F140" i="33" l="1"/>
  <c r="F60" i="31"/>
  <c r="F64" i="31"/>
  <c r="P119" i="33"/>
  <c r="O119" i="33"/>
  <c r="N119" i="33"/>
  <c r="M119" i="33"/>
  <c r="L119" i="33"/>
  <c r="K119" i="33"/>
  <c r="E119" i="33"/>
  <c r="U118" i="33"/>
  <c r="T118" i="33"/>
  <c r="S118" i="33"/>
  <c r="R118" i="33"/>
  <c r="Q118" i="33"/>
  <c r="U98" i="33"/>
  <c r="T98" i="33"/>
  <c r="S98" i="33"/>
  <c r="R98" i="33"/>
  <c r="Q98" i="33"/>
  <c r="P98" i="33"/>
  <c r="O98" i="33"/>
  <c r="N98" i="33"/>
  <c r="M98" i="33"/>
  <c r="L98" i="33"/>
  <c r="U97" i="33"/>
  <c r="T97" i="33"/>
  <c r="S97" i="33"/>
  <c r="R97" i="33"/>
  <c r="Q97" i="33"/>
  <c r="P97" i="33"/>
  <c r="O97" i="33"/>
  <c r="N97" i="33"/>
  <c r="M97" i="33"/>
  <c r="L97" i="33"/>
  <c r="U96" i="33"/>
  <c r="T96" i="33"/>
  <c r="S96" i="33"/>
  <c r="R96" i="33"/>
  <c r="Q96" i="33"/>
  <c r="P96" i="33"/>
  <c r="O96" i="33"/>
  <c r="N96" i="33"/>
  <c r="M96" i="33"/>
  <c r="L96" i="33"/>
  <c r="U95" i="33"/>
  <c r="T95" i="33"/>
  <c r="S95" i="33"/>
  <c r="R95" i="33"/>
  <c r="Q95" i="33"/>
  <c r="P95" i="33"/>
  <c r="O95" i="33"/>
  <c r="N95" i="33"/>
  <c r="M95" i="33"/>
  <c r="L95" i="33"/>
  <c r="U94" i="33"/>
  <c r="T94" i="33"/>
  <c r="S94" i="33"/>
  <c r="R94" i="33"/>
  <c r="Q94" i="33"/>
  <c r="P94" i="33"/>
  <c r="O94" i="33"/>
  <c r="N94" i="33"/>
  <c r="M94" i="33"/>
  <c r="L94" i="33"/>
  <c r="U93" i="33"/>
  <c r="T93" i="33"/>
  <c r="S93" i="33"/>
  <c r="R93" i="33"/>
  <c r="Q93" i="33"/>
  <c r="P93" i="33"/>
  <c r="O93" i="33"/>
  <c r="N93" i="33"/>
  <c r="M93" i="33"/>
  <c r="L93" i="33"/>
  <c r="U92" i="33"/>
  <c r="T92" i="33"/>
  <c r="S92" i="33"/>
  <c r="R92" i="33"/>
  <c r="Q92" i="33"/>
  <c r="P92" i="33"/>
  <c r="O92" i="33"/>
  <c r="N92" i="33"/>
  <c r="M92" i="33"/>
  <c r="L92" i="33"/>
  <c r="U91" i="33"/>
  <c r="U115" i="33" s="1"/>
  <c r="T91" i="33"/>
  <c r="T115" i="33" s="1"/>
  <c r="S91" i="33"/>
  <c r="S115" i="33" s="1"/>
  <c r="R91" i="33"/>
  <c r="R115" i="33" s="1"/>
  <c r="Q91" i="33"/>
  <c r="Q115" i="33" s="1"/>
  <c r="P91" i="33"/>
  <c r="P115" i="33" s="1"/>
  <c r="O91" i="33"/>
  <c r="O115" i="33" s="1"/>
  <c r="N91" i="33"/>
  <c r="N115" i="33" s="1"/>
  <c r="M91" i="33"/>
  <c r="M115" i="33" s="1"/>
  <c r="L91" i="33"/>
  <c r="L115" i="33" s="1"/>
  <c r="K115" i="33"/>
  <c r="U88" i="33"/>
  <c r="T88" i="33"/>
  <c r="S88" i="33"/>
  <c r="R88" i="33"/>
  <c r="Q88" i="33"/>
  <c r="P88" i="33"/>
  <c r="O88" i="33"/>
  <c r="O114" i="33" s="1"/>
  <c r="N88" i="33"/>
  <c r="N85" i="33" s="1"/>
  <c r="N114" i="33" s="1"/>
  <c r="M88" i="33"/>
  <c r="M85" i="33" s="1"/>
  <c r="M114" i="33" s="1"/>
  <c r="L88" i="33"/>
  <c r="L90" i="33" s="1"/>
  <c r="U85" i="33"/>
  <c r="T85" i="33"/>
  <c r="S85" i="33"/>
  <c r="R85" i="33"/>
  <c r="Q85" i="33"/>
  <c r="P85" i="33"/>
  <c r="O85" i="33"/>
  <c r="L85" i="33"/>
  <c r="L114" i="33" s="1"/>
  <c r="K114" i="33"/>
  <c r="R80" i="33"/>
  <c r="M80" i="33"/>
  <c r="R79" i="33"/>
  <c r="M79" i="33"/>
  <c r="R78" i="33"/>
  <c r="M78" i="33"/>
  <c r="R77" i="33"/>
  <c r="M77" i="33"/>
  <c r="D77" i="33"/>
  <c r="R76" i="33"/>
  <c r="M76" i="33"/>
  <c r="D76" i="33"/>
  <c r="R75" i="33"/>
  <c r="M75" i="33"/>
  <c r="D75" i="33"/>
  <c r="R74" i="33"/>
  <c r="M74" i="33"/>
  <c r="D74" i="33"/>
  <c r="R73" i="33"/>
  <c r="M73" i="33"/>
  <c r="D73" i="33"/>
  <c r="R72" i="33"/>
  <c r="M72" i="33"/>
  <c r="D72" i="33"/>
  <c r="R71" i="33"/>
  <c r="M71" i="33"/>
  <c r="D71" i="33"/>
  <c r="R70" i="33"/>
  <c r="D70" i="33"/>
  <c r="B64" i="33"/>
  <c r="B59" i="33"/>
  <c r="T48" i="33"/>
  <c r="V48" i="33" s="1"/>
  <c r="S48" i="33"/>
  <c r="R48" i="33"/>
  <c r="P48" i="33"/>
  <c r="N48" i="33"/>
  <c r="L48" i="33"/>
  <c r="C36" i="33"/>
  <c r="B36" i="33"/>
  <c r="C35" i="33"/>
  <c r="B35" i="33"/>
  <c r="C34" i="33"/>
  <c r="B34" i="33"/>
  <c r="C33" i="33"/>
  <c r="B33" i="33"/>
  <c r="C32" i="33"/>
  <c r="B32" i="33"/>
  <c r="C31" i="33"/>
  <c r="B31" i="33"/>
  <c r="C30" i="33"/>
  <c r="B30" i="33"/>
  <c r="C29" i="33"/>
  <c r="B29" i="33"/>
  <c r="C28" i="33"/>
  <c r="B28" i="33"/>
  <c r="C27" i="33"/>
  <c r="B27" i="33"/>
  <c r="C26" i="33"/>
  <c r="B26" i="33"/>
  <c r="C25" i="33"/>
  <c r="B25" i="33"/>
  <c r="C24" i="33"/>
  <c r="D24" i="33" s="1"/>
  <c r="B24" i="33"/>
  <c r="E24" i="33" s="1"/>
  <c r="C15" i="33"/>
  <c r="B15" i="33"/>
  <c r="C14" i="33"/>
  <c r="B14" i="33"/>
  <c r="C13" i="33"/>
  <c r="B13" i="33"/>
  <c r="C12" i="33"/>
  <c r="B12" i="33"/>
  <c r="C11" i="33"/>
  <c r="B11" i="33"/>
  <c r="C10" i="33"/>
  <c r="B10" i="33"/>
  <c r="C9" i="33"/>
  <c r="B9" i="33"/>
  <c r="C8" i="33"/>
  <c r="B8" i="33"/>
  <c r="C7" i="33"/>
  <c r="B7" i="33"/>
  <c r="R41" i="33" s="1"/>
  <c r="C6" i="33"/>
  <c r="B6" i="33"/>
  <c r="P41" i="33" s="1"/>
  <c r="C5" i="33"/>
  <c r="B5" i="33"/>
  <c r="N41" i="33" s="1"/>
  <c r="C4" i="33"/>
  <c r="B4" i="33"/>
  <c r="L41" i="33" s="1"/>
  <c r="C3" i="33"/>
  <c r="D3" i="33" s="1"/>
  <c r="B3" i="33"/>
  <c r="E3" i="33" s="1"/>
  <c r="K103" i="33"/>
  <c r="K105" i="33" s="1"/>
  <c r="B65" i="33" l="1"/>
  <c r="S114" i="33"/>
  <c r="S120" i="33" s="1"/>
  <c r="U48" i="33"/>
  <c r="B62" i="33"/>
  <c r="M41" i="33"/>
  <c r="B68" i="33"/>
  <c r="Q41" i="33"/>
  <c r="S41" i="33"/>
  <c r="O41" i="33"/>
  <c r="Q48" i="33"/>
  <c r="U114" i="33"/>
  <c r="U120" i="33" s="1"/>
  <c r="B61" i="33"/>
  <c r="R114" i="33"/>
  <c r="R120" i="33" s="1"/>
  <c r="B69" i="33"/>
  <c r="W48" i="33"/>
  <c r="Q114" i="33"/>
  <c r="Q120" i="33" s="1"/>
  <c r="O3" i="33"/>
  <c r="P3" i="33" s="1"/>
  <c r="O48" i="33"/>
  <c r="B67" i="33"/>
  <c r="M90" i="33"/>
  <c r="N90" i="33" s="1"/>
  <c r="O90" i="33" s="1"/>
  <c r="P90" i="33" s="1"/>
  <c r="Q90" i="33" s="1"/>
  <c r="R90" i="33" s="1"/>
  <c r="S90" i="33" s="1"/>
  <c r="T90" i="33" s="1"/>
  <c r="U90" i="33" s="1"/>
  <c r="B66" i="33"/>
  <c r="E4" i="33"/>
  <c r="E5" i="33" s="1"/>
  <c r="E6" i="33" s="1"/>
  <c r="E7" i="33" s="1"/>
  <c r="B63" i="33"/>
  <c r="M48" i="33"/>
  <c r="P114" i="33"/>
  <c r="E25" i="33"/>
  <c r="D78" i="33"/>
  <c r="M24" i="33"/>
  <c r="N24" i="33" s="1"/>
  <c r="K24" i="33"/>
  <c r="L24" i="33" s="1"/>
  <c r="D4" i="33"/>
  <c r="K3" i="33"/>
  <c r="L3" i="33" s="1"/>
  <c r="M3" i="33"/>
  <c r="N3" i="33" s="1"/>
  <c r="D25" i="33"/>
  <c r="E117" i="33"/>
  <c r="E118" i="33" s="1"/>
  <c r="T114" i="33"/>
  <c r="T120" i="33" s="1"/>
  <c r="X48" i="33"/>
  <c r="B60" i="33"/>
  <c r="K4" i="33" l="1"/>
  <c r="L4" i="33" s="1"/>
  <c r="D5" i="33"/>
  <c r="O4" i="33"/>
  <c r="P4" i="33" s="1"/>
  <c r="L43" i="33" s="1"/>
  <c r="M4" i="33"/>
  <c r="N4" i="33" s="1"/>
  <c r="D79" i="33"/>
  <c r="M25" i="33"/>
  <c r="N25" i="33" s="1"/>
  <c r="L47" i="33" s="1"/>
  <c r="M47" i="33" s="1"/>
  <c r="K25" i="33"/>
  <c r="L25" i="33" s="1"/>
  <c r="L46" i="33" s="1"/>
  <c r="M46" i="33" s="1"/>
  <c r="E26" i="33"/>
  <c r="Y48" i="33"/>
  <c r="Z48" i="33"/>
  <c r="D26" i="33"/>
  <c r="K117" i="33"/>
  <c r="K118" i="33" s="1"/>
  <c r="K120" i="33" s="1"/>
  <c r="E8" i="33"/>
  <c r="D80" i="33" l="1"/>
  <c r="E27" i="33"/>
  <c r="M26" i="33"/>
  <c r="N26" i="33" s="1"/>
  <c r="N47" i="33" s="1"/>
  <c r="O47" i="33" s="1"/>
  <c r="K26" i="33"/>
  <c r="L26" i="33" s="1"/>
  <c r="N46" i="33" s="1"/>
  <c r="O46" i="33" s="1"/>
  <c r="M43" i="33"/>
  <c r="L45" i="33"/>
  <c r="M45" i="33" s="1"/>
  <c r="AB48" i="33"/>
  <c r="AA48" i="33"/>
  <c r="M5" i="33"/>
  <c r="N5" i="33" s="1"/>
  <c r="D6" i="33"/>
  <c r="O5" i="33"/>
  <c r="P5" i="33" s="1"/>
  <c r="N43" i="33" s="1"/>
  <c r="K5" i="33"/>
  <c r="L5" i="33" s="1"/>
  <c r="D27" i="33"/>
  <c r="L117" i="33"/>
  <c r="L118" i="33" s="1"/>
  <c r="L120" i="33" s="1"/>
  <c r="T41" i="33"/>
  <c r="U41" i="33" s="1"/>
  <c r="E9" i="33"/>
  <c r="L40" i="33"/>
  <c r="M40" i="33" s="1"/>
  <c r="L42" i="33"/>
  <c r="N42" i="33" l="1"/>
  <c r="N40" i="33"/>
  <c r="O40" i="33" s="1"/>
  <c r="O49" i="33" s="1"/>
  <c r="D60" i="33" s="1"/>
  <c r="AC48" i="33"/>
  <c r="AD48" i="33"/>
  <c r="E10" i="33"/>
  <c r="V41" i="33"/>
  <c r="W41" i="33" s="1"/>
  <c r="D7" i="33"/>
  <c r="K6" i="33"/>
  <c r="L6" i="33" s="1"/>
  <c r="P40" i="33" s="1"/>
  <c r="M6" i="33"/>
  <c r="N6" i="33" s="1"/>
  <c r="O6" i="33"/>
  <c r="P6" i="33" s="1"/>
  <c r="P43" i="33" s="1"/>
  <c r="E28" i="33"/>
  <c r="M27" i="33"/>
  <c r="N27" i="33" s="1"/>
  <c r="P47" i="33" s="1"/>
  <c r="Q47" i="33" s="1"/>
  <c r="K27" i="33"/>
  <c r="L27" i="33" s="1"/>
  <c r="P46" i="33" s="1"/>
  <c r="Q46" i="33" s="1"/>
  <c r="L44" i="33"/>
  <c r="M44" i="33" s="1"/>
  <c r="M42" i="33"/>
  <c r="O43" i="33"/>
  <c r="N45" i="33"/>
  <c r="O45" i="33" s="1"/>
  <c r="M117" i="33"/>
  <c r="M118" i="33" s="1"/>
  <c r="M120" i="33" s="1"/>
  <c r="D28" i="33"/>
  <c r="F103" i="33"/>
  <c r="M49" i="33" l="1"/>
  <c r="D59" i="33" s="1"/>
  <c r="P42" i="33"/>
  <c r="Q40" i="33"/>
  <c r="Q49" i="33" s="1"/>
  <c r="D61" i="33" s="1"/>
  <c r="X41" i="33"/>
  <c r="Y41" i="33" s="1"/>
  <c r="E11" i="33"/>
  <c r="D29" i="33"/>
  <c r="N117" i="33"/>
  <c r="N118" i="33" s="1"/>
  <c r="N120" i="33" s="1"/>
  <c r="K28" i="33"/>
  <c r="L28" i="33" s="1"/>
  <c r="R46" i="33" s="1"/>
  <c r="S46" i="33" s="1"/>
  <c r="E29" i="33"/>
  <c r="M28" i="33"/>
  <c r="N28" i="33" s="1"/>
  <c r="R47" i="33" s="1"/>
  <c r="S47" i="33" s="1"/>
  <c r="D8" i="33"/>
  <c r="K7" i="33"/>
  <c r="L7" i="33" s="1"/>
  <c r="R40" i="33" s="1"/>
  <c r="M7" i="33"/>
  <c r="N7" i="33" s="1"/>
  <c r="O7" i="33"/>
  <c r="P7" i="33" s="1"/>
  <c r="R43" i="33" s="1"/>
  <c r="Q43" i="33"/>
  <c r="P45" i="33"/>
  <c r="Q45" i="33" s="1"/>
  <c r="AF48" i="33"/>
  <c r="AG48" i="33" s="1"/>
  <c r="AE48" i="33"/>
  <c r="N44" i="33"/>
  <c r="O44" i="33" s="1"/>
  <c r="O42" i="33"/>
  <c r="D9" i="33" l="1"/>
  <c r="K8" i="33"/>
  <c r="L8" i="33" s="1"/>
  <c r="T40" i="33" s="1"/>
  <c r="O8" i="33"/>
  <c r="P8" i="33" s="1"/>
  <c r="T43" i="33" s="1"/>
  <c r="M8" i="33"/>
  <c r="N8" i="33" s="1"/>
  <c r="S43" i="33"/>
  <c r="R45" i="33"/>
  <c r="S45" i="33" s="1"/>
  <c r="D30" i="33"/>
  <c r="O117" i="33"/>
  <c r="O118" i="33" s="1"/>
  <c r="O120" i="33" s="1"/>
  <c r="M29" i="33"/>
  <c r="N29" i="33" s="1"/>
  <c r="T47" i="33" s="1"/>
  <c r="U47" i="33" s="1"/>
  <c r="K29" i="33"/>
  <c r="L29" i="33" s="1"/>
  <c r="T46" i="33" s="1"/>
  <c r="U46" i="33" s="1"/>
  <c r="E30" i="33"/>
  <c r="E12" i="33"/>
  <c r="Z41" i="33"/>
  <c r="AA41" i="33" s="1"/>
  <c r="R42" i="33"/>
  <c r="S40" i="33"/>
  <c r="S49" i="33" s="1"/>
  <c r="D62" i="33" s="1"/>
  <c r="P44" i="33"/>
  <c r="Q44" i="33" s="1"/>
  <c r="Q42" i="33"/>
  <c r="S42" i="33" l="1"/>
  <c r="R44" i="33"/>
  <c r="S44" i="33" s="1"/>
  <c r="E31" i="33"/>
  <c r="K30" i="33"/>
  <c r="L30" i="33" s="1"/>
  <c r="V46" i="33" s="1"/>
  <c r="W46" i="33" s="1"/>
  <c r="M30" i="33"/>
  <c r="N30" i="33" s="1"/>
  <c r="V47" i="33" s="1"/>
  <c r="W47" i="33" s="1"/>
  <c r="D31" i="33"/>
  <c r="D32" i="33" s="1"/>
  <c r="D33" i="33" s="1"/>
  <c r="D34" i="33" s="1"/>
  <c r="D35" i="33" s="1"/>
  <c r="P117" i="33"/>
  <c r="P118" i="33" s="1"/>
  <c r="P120" i="33" s="1"/>
  <c r="U43" i="33"/>
  <c r="T45" i="33"/>
  <c r="U45" i="33" s="1"/>
  <c r="T42" i="33"/>
  <c r="U40" i="33"/>
  <c r="U49" i="33" s="1"/>
  <c r="D63" i="33" s="1"/>
  <c r="AB41" i="33"/>
  <c r="AC41" i="33" s="1"/>
  <c r="E13" i="33"/>
  <c r="D10" i="33"/>
  <c r="K9" i="33"/>
  <c r="L9" i="33" s="1"/>
  <c r="V40" i="33" s="1"/>
  <c r="M9" i="33"/>
  <c r="N9" i="33" s="1"/>
  <c r="O9" i="33"/>
  <c r="P9" i="33" s="1"/>
  <c r="V43" i="33" s="1"/>
  <c r="D11" i="33" l="1"/>
  <c r="K10" i="33"/>
  <c r="L10" i="33" s="1"/>
  <c r="X40" i="33" s="1"/>
  <c r="M10" i="33"/>
  <c r="N10" i="33" s="1"/>
  <c r="O10" i="33"/>
  <c r="P10" i="33" s="1"/>
  <c r="X43" i="33" s="1"/>
  <c r="E32" i="33"/>
  <c r="M31" i="33"/>
  <c r="N31" i="33" s="1"/>
  <c r="X47" i="33" s="1"/>
  <c r="Y47" i="33" s="1"/>
  <c r="K31" i="33"/>
  <c r="L31" i="33" s="1"/>
  <c r="X46" i="33" s="1"/>
  <c r="Y46" i="33" s="1"/>
  <c r="W43" i="33"/>
  <c r="V45" i="33"/>
  <c r="W45" i="33" s="1"/>
  <c r="T44" i="33"/>
  <c r="U44" i="33" s="1"/>
  <c r="U42" i="33"/>
  <c r="V42" i="33"/>
  <c r="W40" i="33"/>
  <c r="W49" i="33" s="1"/>
  <c r="D64" i="33" s="1"/>
  <c r="E14" i="33"/>
  <c r="AD41" i="33"/>
  <c r="AE41" i="33" s="1"/>
  <c r="AF41" i="33" l="1"/>
  <c r="AG41" i="33" s="1"/>
  <c r="V44" i="33"/>
  <c r="W44" i="33" s="1"/>
  <c r="W42" i="33"/>
  <c r="Y43" i="33"/>
  <c r="X45" i="33"/>
  <c r="Y45" i="33" s="1"/>
  <c r="X42" i="33"/>
  <c r="Y40" i="33"/>
  <c r="Y49" i="33" s="1"/>
  <c r="D65" i="33" s="1"/>
  <c r="K32" i="33"/>
  <c r="L32" i="33" s="1"/>
  <c r="Z46" i="33" s="1"/>
  <c r="AA46" i="33" s="1"/>
  <c r="E33" i="33"/>
  <c r="M32" i="33"/>
  <c r="N32" i="33" s="1"/>
  <c r="Z47" i="33" s="1"/>
  <c r="AA47" i="33" s="1"/>
  <c r="D12" i="33"/>
  <c r="K11" i="33"/>
  <c r="L11" i="33" s="1"/>
  <c r="Z40" i="33" s="1"/>
  <c r="M11" i="33"/>
  <c r="N11" i="33" s="1"/>
  <c r="O11" i="33"/>
  <c r="P11" i="33" s="1"/>
  <c r="Z43" i="33" s="1"/>
  <c r="X44" i="33" l="1"/>
  <c r="Y44" i="33" s="1"/>
  <c r="Y42" i="33"/>
  <c r="K33" i="33"/>
  <c r="L33" i="33" s="1"/>
  <c r="AB46" i="33" s="1"/>
  <c r="AC46" i="33" s="1"/>
  <c r="M33" i="33"/>
  <c r="N33" i="33" s="1"/>
  <c r="AB47" i="33" s="1"/>
  <c r="AC47" i="33" s="1"/>
  <c r="E34" i="33"/>
  <c r="Z42" i="33"/>
  <c r="AA40" i="33"/>
  <c r="AA49" i="33" s="1"/>
  <c r="D66" i="33" s="1"/>
  <c r="Z45" i="33"/>
  <c r="AA45" i="33" s="1"/>
  <c r="AA43" i="33"/>
  <c r="D13" i="33"/>
  <c r="K12" i="33"/>
  <c r="L12" i="33" s="1"/>
  <c r="AB40" i="33" s="1"/>
  <c r="M12" i="33"/>
  <c r="N12" i="33" s="1"/>
  <c r="O12" i="33"/>
  <c r="P12" i="33" s="1"/>
  <c r="AB43" i="33" s="1"/>
  <c r="AB42" i="33" l="1"/>
  <c r="AC40" i="33"/>
  <c r="AC49" i="33" s="1"/>
  <c r="D67" i="33" s="1"/>
  <c r="D14" i="33"/>
  <c r="K13" i="33"/>
  <c r="L13" i="33" s="1"/>
  <c r="AD40" i="33" s="1"/>
  <c r="O13" i="33"/>
  <c r="P13" i="33" s="1"/>
  <c r="AD43" i="33" s="1"/>
  <c r="M13" i="33"/>
  <c r="N13" i="33" s="1"/>
  <c r="AA42" i="33"/>
  <c r="Z44" i="33"/>
  <c r="AA44" i="33" s="1"/>
  <c r="AB45" i="33"/>
  <c r="AC45" i="33" s="1"/>
  <c r="AC43" i="33"/>
  <c r="E35" i="33"/>
  <c r="K34" i="33"/>
  <c r="L34" i="33" s="1"/>
  <c r="AD46" i="33" s="1"/>
  <c r="AE46" i="33" s="1"/>
  <c r="M34" i="33"/>
  <c r="N34" i="33" s="1"/>
  <c r="AD47" i="33" s="1"/>
  <c r="AE47" i="33" s="1"/>
  <c r="AD42" i="33" l="1"/>
  <c r="AE40" i="33"/>
  <c r="AE49" i="33" s="1"/>
  <c r="D68" i="33" s="1"/>
  <c r="M35" i="33"/>
  <c r="N35" i="33" s="1"/>
  <c r="AF47" i="33" s="1"/>
  <c r="AG47" i="33" s="1"/>
  <c r="K35" i="33"/>
  <c r="L35" i="33" s="1"/>
  <c r="AF46" i="33" s="1"/>
  <c r="AG46" i="33" s="1"/>
  <c r="K14" i="33"/>
  <c r="L14" i="33" s="1"/>
  <c r="AF40" i="33" s="1"/>
  <c r="O14" i="33"/>
  <c r="P14" i="33" s="1"/>
  <c r="AF43" i="33" s="1"/>
  <c r="M14" i="33"/>
  <c r="N14" i="33" s="1"/>
  <c r="AE43" i="33"/>
  <c r="AD45" i="33"/>
  <c r="AE45" i="33" s="1"/>
  <c r="AB44" i="33"/>
  <c r="AC44" i="33" s="1"/>
  <c r="AC42" i="33"/>
  <c r="AG43" i="33" l="1"/>
  <c r="AF45" i="33"/>
  <c r="AG45" i="33" s="1"/>
  <c r="AG40" i="33"/>
  <c r="AG49" i="33" s="1"/>
  <c r="D69" i="33" s="1"/>
  <c r="AF42" i="33"/>
  <c r="AD44" i="33"/>
  <c r="AE44" i="33" s="1"/>
  <c r="AE42" i="33"/>
  <c r="AF44" i="33" l="1"/>
  <c r="AG44" i="33" s="1"/>
  <c r="AG42" i="33"/>
  <c r="C40" i="31" l="1"/>
  <c r="C59" i="33"/>
  <c r="E115" i="33"/>
  <c r="F40" i="31" l="1"/>
  <c r="G40" i="31"/>
  <c r="F39" i="31"/>
  <c r="G39" i="31"/>
  <c r="E108" i="33"/>
  <c r="C60" i="33"/>
  <c r="E59" i="33"/>
  <c r="K59" i="33"/>
  <c r="E110" i="33" l="1"/>
  <c r="E111" i="33" s="1"/>
  <c r="E103" i="33" s="1"/>
  <c r="E109" i="33"/>
  <c r="L108" i="33"/>
  <c r="K60" i="33"/>
  <c r="C61" i="33"/>
  <c r="E60" i="33"/>
  <c r="C62" i="33" l="1"/>
  <c r="M108" i="33"/>
  <c r="K61" i="33"/>
  <c r="E61" i="33"/>
  <c r="L109" i="33"/>
  <c r="L110" i="33"/>
  <c r="L111" i="33" s="1"/>
  <c r="L103" i="33" s="1"/>
  <c r="L105" i="33" s="1"/>
  <c r="M109" i="33" l="1"/>
  <c r="M110" i="33"/>
  <c r="M111" i="33" s="1"/>
  <c r="M103" i="33" s="1"/>
  <c r="M105" i="33" s="1"/>
  <c r="E62" i="33"/>
  <c r="C63" i="33"/>
  <c r="K62" i="33"/>
  <c r="N108" i="33"/>
  <c r="K63" i="33" l="1"/>
  <c r="E63" i="33"/>
  <c r="C64" i="33"/>
  <c r="O108" i="33"/>
  <c r="N109" i="33"/>
  <c r="N110" i="33"/>
  <c r="N111" i="33" s="1"/>
  <c r="N103" i="33" s="1"/>
  <c r="N105" i="33" s="1"/>
  <c r="O110" i="33" l="1"/>
  <c r="O111" i="33" s="1"/>
  <c r="O103" i="33" s="1"/>
  <c r="O105" i="33" s="1"/>
  <c r="O109" i="33"/>
  <c r="K64" i="33"/>
  <c r="E64" i="33"/>
  <c r="C65" i="33"/>
  <c r="P108" i="33"/>
  <c r="P110" i="33" l="1"/>
  <c r="P111" i="33" s="1"/>
  <c r="P103" i="33" s="1"/>
  <c r="P105" i="33" s="1"/>
  <c r="P109" i="33"/>
  <c r="E65" i="33"/>
  <c r="K65" i="33"/>
  <c r="Q108" i="33"/>
  <c r="C66" i="33"/>
  <c r="C67" i="33" l="1"/>
  <c r="E66" i="33"/>
  <c r="R108" i="33"/>
  <c r="K66" i="33"/>
  <c r="Q110" i="33"/>
  <c r="Q111" i="33" s="1"/>
  <c r="Q103" i="33" s="1"/>
  <c r="Q105" i="33" s="1"/>
  <c r="Q109" i="33"/>
  <c r="R109" i="33" l="1"/>
  <c r="R110" i="33"/>
  <c r="R111" i="33" s="1"/>
  <c r="R103" i="33" s="1"/>
  <c r="R105" i="33" s="1"/>
  <c r="S108" i="33"/>
  <c r="C68" i="33"/>
  <c r="K67" i="33"/>
  <c r="E67" i="33"/>
  <c r="S109" i="33" l="1"/>
  <c r="S110" i="33"/>
  <c r="S111" i="33" s="1"/>
  <c r="S103" i="33" s="1"/>
  <c r="S105" i="33" s="1"/>
  <c r="E68" i="33"/>
  <c r="K68" i="33"/>
  <c r="T108" i="33"/>
  <c r="C69" i="33"/>
  <c r="E69" i="33" l="1"/>
  <c r="U108" i="33"/>
  <c r="K69" i="33"/>
  <c r="M70" i="33" s="1"/>
  <c r="T110" i="33"/>
  <c r="T111" i="33" s="1"/>
  <c r="T103" i="33" s="1"/>
  <c r="T105" i="33" s="1"/>
  <c r="T109" i="33"/>
  <c r="U110" i="33" l="1"/>
  <c r="U111" i="33" s="1"/>
  <c r="U103" i="33" s="1"/>
  <c r="U105" i="33" s="1"/>
  <c r="U109" i="33"/>
  <c r="C36" i="31" l="1"/>
  <c r="C58" i="31"/>
  <c r="C52" i="31"/>
  <c r="C47" i="31"/>
  <c r="C50" i="31"/>
  <c r="C49" i="31"/>
  <c r="C61" i="31"/>
  <c r="C51" i="31"/>
  <c r="C63" i="31" l="1"/>
  <c r="G63" i="31" s="1"/>
  <c r="G50" i="31"/>
  <c r="F50" i="31"/>
  <c r="F58" i="31"/>
  <c r="G58" i="31"/>
  <c r="D124" i="31"/>
  <c r="G61" i="31"/>
  <c r="F61" i="31"/>
  <c r="F47" i="31"/>
  <c r="G47" i="31"/>
  <c r="F52" i="31"/>
  <c r="G52" i="31"/>
  <c r="E114" i="33"/>
  <c r="F51" i="31"/>
  <c r="G51" i="31"/>
  <c r="G49" i="31"/>
  <c r="F49" i="31"/>
  <c r="F36" i="31"/>
  <c r="G36" i="31"/>
  <c r="D123" i="31"/>
  <c r="F63" i="31" l="1"/>
  <c r="E116" i="33"/>
  <c r="K116" i="33" s="1"/>
  <c r="L116" i="33" s="1"/>
  <c r="M116" i="33" s="1"/>
  <c r="N116" i="33" s="1"/>
  <c r="O116" i="33" s="1"/>
  <c r="P116" i="33" s="1"/>
  <c r="Q116" i="33" s="1"/>
  <c r="R116" i="33" s="1"/>
  <c r="S116" i="33" s="1"/>
  <c r="T116" i="33" s="1"/>
  <c r="U116" i="33" s="1"/>
  <c r="E120" i="33"/>
  <c r="C69" i="31" l="1"/>
  <c r="F69" i="51"/>
  <c r="E95" i="33" s="1"/>
  <c r="D57" i="33"/>
  <c r="F57" i="33" l="1"/>
  <c r="E141" i="33"/>
  <c r="B89" i="31" s="1"/>
  <c r="C68" i="31"/>
  <c r="C70" i="51"/>
  <c r="F70" i="51" s="1"/>
  <c r="E96" i="33" s="1"/>
  <c r="F68" i="51"/>
  <c r="G69" i="31"/>
  <c r="F69" i="31"/>
  <c r="J86" i="51" l="1"/>
  <c r="E94" i="33"/>
  <c r="D72" i="51"/>
  <c r="F72" i="51" s="1"/>
  <c r="E72" i="31"/>
  <c r="F72" i="31" s="1"/>
  <c r="C70" i="31"/>
  <c r="F68" i="31"/>
  <c r="G68" i="31"/>
  <c r="F70" i="31" l="1"/>
  <c r="G70" i="31"/>
  <c r="G42" i="31" l="1"/>
  <c r="F42" i="31"/>
  <c r="F41" i="31"/>
  <c r="G41" i="31"/>
  <c r="G33" i="67" s="1"/>
  <c r="G38" i="67" l="1"/>
  <c r="G39" i="67" s="1"/>
  <c r="G34" i="67"/>
  <c r="C112" i="31"/>
  <c r="E112" i="31" l="1"/>
  <c r="E119" i="31" s="1"/>
  <c r="G64" i="31" s="1"/>
  <c r="H34" i="67"/>
  <c r="C45" i="67" s="1"/>
  <c r="G73" i="31" l="1"/>
  <c r="C47" i="67" s="1"/>
  <c r="J84" i="31" l="1"/>
  <c r="F76" i="51" l="1"/>
  <c r="G76" i="51"/>
  <c r="F75" i="51"/>
  <c r="G75" i="51"/>
  <c r="E99" i="33" l="1"/>
  <c r="D134" i="33" s="1"/>
  <c r="F136" i="33" s="1"/>
  <c r="C126" i="51"/>
  <c r="C66" i="51" l="1"/>
  <c r="I39" i="67" s="1"/>
  <c r="E48" i="67" s="1"/>
  <c r="E126" i="51"/>
  <c r="E132" i="51" s="1"/>
  <c r="G64" i="51" s="1"/>
  <c r="G73" i="51" s="1"/>
  <c r="E47" i="67" s="1"/>
  <c r="I34" i="67"/>
  <c r="E45" i="67" s="1"/>
  <c r="F139" i="33"/>
  <c r="C66" i="31"/>
  <c r="H39" i="67" s="1"/>
  <c r="C48" i="67" s="1"/>
  <c r="C67" i="51" l="1"/>
  <c r="F67" i="51" s="1"/>
  <c r="E93" i="33" s="1"/>
  <c r="J91" i="51"/>
  <c r="D106" i="51"/>
  <c r="D115" i="51"/>
  <c r="E113" i="51" s="1"/>
  <c r="F66" i="51"/>
  <c r="E92" i="33" l="1"/>
  <c r="F73" i="51"/>
  <c r="F79" i="51" s="1"/>
  <c r="E46" i="67" l="1"/>
  <c r="J84" i="51"/>
  <c r="I14" i="67" s="1"/>
  <c r="E42" i="67" s="1"/>
  <c r="E97" i="33"/>
  <c r="E100" i="33" s="1"/>
  <c r="J85" i="51" l="1"/>
  <c r="J86" i="31"/>
  <c r="I22" i="67" l="1"/>
  <c r="E43" i="67" s="1"/>
  <c r="B96" i="51"/>
  <c r="F110" i="66"/>
  <c r="F113" i="66" l="1"/>
  <c r="I28" i="67"/>
  <c r="E44" i="67" s="1"/>
  <c r="J110" i="66"/>
  <c r="J113" i="66" s="1"/>
  <c r="F66" i="31"/>
  <c r="C67" i="31"/>
  <c r="F67" i="31" s="1"/>
  <c r="D128" i="31"/>
  <c r="F126" i="31" s="1"/>
  <c r="J79" i="31" s="1"/>
  <c r="F73" i="31" l="1"/>
  <c r="C46" i="67" s="1"/>
  <c r="G21" i="67"/>
  <c r="F89" i="51" l="1"/>
  <c r="H89" i="51" s="1"/>
  <c r="J90" i="51" s="1"/>
  <c r="F83" i="31"/>
  <c r="G25" i="67"/>
  <c r="G28" i="67" s="1"/>
  <c r="C44" i="67" s="1"/>
  <c r="H22" i="67"/>
  <c r="J78" i="31"/>
  <c r="H14" i="67" s="1"/>
  <c r="C42" i="67" s="1"/>
  <c r="G18" i="67"/>
  <c r="G22" i="67" s="1"/>
  <c r="C43" i="67" s="1"/>
  <c r="G9" i="67"/>
  <c r="G14" i="67" s="1"/>
  <c r="B91" i="31"/>
  <c r="B93" i="51" l="1"/>
  <c r="H83" i="31"/>
  <c r="H28" i="67"/>
  <c r="B88" i="31" l="1"/>
  <c r="J85" i="3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G4" authorId="0" shapeId="0" xr:uid="{12DD395B-8992-4275-A439-C4E7F374962A}">
      <text>
        <r>
          <rPr>
            <sz val="9"/>
            <color indexed="81"/>
            <rFont val="Tahoma"/>
            <family val="2"/>
          </rPr>
          <t xml:space="preserve">Les infos que vous retrouvez à ce niveau sont répercutées automatiquement dans le BP 
</t>
        </r>
      </text>
    </comment>
    <comment ref="H18" authorId="0" shapeId="0" xr:uid="{99FC4061-31AB-4F7D-A4DC-E309F2BF5F7B}">
      <text>
        <r>
          <rPr>
            <sz val="9"/>
            <color indexed="81"/>
            <rFont val="Tahoma"/>
            <family val="2"/>
          </rPr>
          <t xml:space="preserve">Si vous voulez que l'Assurance décés des Cadres apparaisse de manière distincte sur le Bulletin de Paie vous saisirez le taux de 1,5% en PP 
</t>
        </r>
      </text>
    </comment>
    <comment ref="E26" authorId="0" shapeId="0" xr:uid="{B0CC77ED-75AE-4174-A7D9-2B8F5E490B2F}">
      <text>
        <r>
          <rPr>
            <sz val="9"/>
            <color indexed="81"/>
            <rFont val="Tahoma"/>
            <family val="2"/>
          </rPr>
          <t xml:space="preserve">Ces données sont reportées directement sur le BP une fois saisies à ce niveau </t>
        </r>
        <r>
          <rPr>
            <b/>
            <sz val="9"/>
            <color indexed="81"/>
            <rFont val="Tahoma"/>
            <family val="2"/>
          </rPr>
          <t xml:space="preserve">
</t>
        </r>
      </text>
    </comment>
    <comment ref="E32" authorId="0" shapeId="0" xr:uid="{1306BADB-4F69-4541-A3DA-C62C5C6F1C11}">
      <text>
        <r>
          <rPr>
            <sz val="9"/>
            <color indexed="81"/>
            <rFont val="Tahoma"/>
            <family val="2"/>
          </rPr>
          <t xml:space="preserve">Les Bulletins de Paie sont paramétrés indifféremment pour les Cadres et les Non Cadres à partir du moment  où vous avez correctement saisi NC ou C ( 1 ou 2) </t>
        </r>
        <r>
          <rPr>
            <sz val="9"/>
            <color indexed="81"/>
            <rFont val="Tahoma"/>
            <family val="2"/>
          </rPr>
          <t xml:space="preserve">
</t>
        </r>
      </text>
    </comment>
    <comment ref="F46" authorId="0" shapeId="0" xr:uid="{55EB6073-380A-40C6-A442-7CCC78A2747A}">
      <text>
        <r>
          <rPr>
            <sz val="9"/>
            <color indexed="81"/>
            <rFont val="Tahoma"/>
            <family val="2"/>
          </rPr>
          <t xml:space="preserve">Bien faire la différence entre les heures contractuelles et les heures URSSAF qui interviennent en cas d'absence non rémunérées ou partiellement rémunérées  , en cas d'heures supplémentaires ou complémentaires par exemple
</t>
        </r>
      </text>
    </comment>
    <comment ref="F47" authorId="0" shapeId="0" xr:uid="{FBE1FBB0-E6F2-403C-90C5-E5B7950D32E0}">
      <text>
        <r>
          <rPr>
            <sz val="9"/>
            <color indexed="81"/>
            <rFont val="Tahoma"/>
            <family val="2"/>
          </rPr>
          <t xml:space="preserve">Les autres composantes du salaire brut ( absences, primes , heures supplémentaires …) seront saisies directement dans le haut du bulletin entre les Lignes 13 à 31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C52" authorId="0" shapeId="0" xr:uid="{00000000-0006-0000-0500-00000B000000}">
      <text>
        <r>
          <rPr>
            <sz val="9"/>
            <color indexed="81"/>
            <rFont val="Tahoma"/>
            <family val="2"/>
          </rPr>
          <t xml:space="preserve">Les limites des bases de cotisations sont paramétrées sur un mois isolé. Le maximum de la Tranche 2 est de 7*PMSS ce qui correspond à un  salaire plafond 
 de 8*PMSS
</t>
        </r>
      </text>
    </comment>
    <comment ref="C55" authorId="0" shapeId="0" xr:uid="{00000000-0006-0000-0500-00000C000000}">
      <text>
        <r>
          <rPr>
            <sz val="9"/>
            <color indexed="81"/>
            <rFont val="Tahoma"/>
            <family val="2"/>
          </rPr>
          <t xml:space="preserve">La particularité de cette Cotisation est que lorsque le Salaire Brut est inférieur au PMSS la T1 est nulle 
</t>
        </r>
      </text>
    </comment>
    <comment ref="G64" authorId="0" shapeId="0" xr:uid="{00000000-0006-0000-0500-00000E000000}">
      <text>
        <r>
          <rPr>
            <sz val="9"/>
            <color indexed="81"/>
            <rFont val="Tahoma"/>
            <family val="2"/>
          </rPr>
          <t xml:space="preserve">Ce montant est reporté depuis le calcul effectué ci-dessous en Page 2 
</t>
        </r>
      </text>
    </comment>
    <comment ref="G71" authorId="0" shapeId="0" xr:uid="{00000000-0006-0000-0500-00000F000000}">
      <text>
        <r>
          <rPr>
            <sz val="9"/>
            <color indexed="81"/>
            <rFont val="Tahoma"/>
            <family val="2"/>
          </rPr>
          <t xml:space="preserve">La REG GEN de COT. Éventuellement applicable est reprise à partir de la Feuille RED. GEN. De COT. 
Par ailleurs lorsque l'entreprise a moins de 20 salariés une réduction de cotisations de 1,5 EUROS par heures supplémentaires est accordée. 
</t>
        </r>
      </text>
    </comment>
    <comment ref="D83" authorId="0" shapeId="0" xr:uid="{00000000-0006-0000-0500-000012000000}">
      <text>
        <r>
          <rPr>
            <sz val="9"/>
            <color indexed="81"/>
            <rFont val="Tahoma"/>
            <family val="2"/>
          </rPr>
          <t xml:space="preserve">La base du PAS n'est pas toujours égale au Net Imposable. Cf la correction pour une explication en présence d'IJSS AT </t>
        </r>
      </text>
    </comment>
    <comment ref="F83" authorId="0" shapeId="0" xr:uid="{00000000-0006-0000-0500-000013000000}">
      <text>
        <r>
          <rPr>
            <sz val="9"/>
            <color indexed="81"/>
            <rFont val="Tahoma"/>
            <family val="2"/>
          </rPr>
          <t xml:space="preserve">Le taux du PAS est récupéré automatiquement dans la Feuille TAUX NEUTRE ( dans le cas où celui-ci s'applique) 
</t>
        </r>
      </text>
    </comment>
    <comment ref="J85" authorId="0" shapeId="0" xr:uid="{00000000-0006-0000-0500-000015000000}">
      <text>
        <r>
          <rPr>
            <sz val="9"/>
            <color indexed="81"/>
            <rFont val="Tahoma"/>
            <family val="2"/>
          </rPr>
          <t xml:space="preserve">Net à payer avant impôt sur le revenu moins le Prélévement à la Source
</t>
        </r>
      </text>
    </comment>
    <comment ref="E119" authorId="0" shapeId="0" xr:uid="{00000000-0006-0000-0500-00001A000000}">
      <text>
        <r>
          <rPr>
            <sz val="9"/>
            <color indexed="81"/>
            <rFont val="Tahoma"/>
            <family val="2"/>
          </rPr>
          <t xml:space="preserve">Ce montant est reporté à la Ligne Autres Contributions de l'Employeur du BP 
Ligne 60
</t>
        </r>
      </text>
    </comment>
    <comment ref="C122" authorId="0" shapeId="0" xr:uid="{00000000-0006-0000-0500-00001B000000}">
      <text>
        <r>
          <rPr>
            <sz val="9"/>
            <color indexed="81"/>
            <rFont val="Tahoma"/>
            <family val="2"/>
          </rPr>
          <t>Les explications détaillées de ces calculs se trouvent dans le cours</t>
        </r>
        <r>
          <rPr>
            <b/>
            <sz val="9"/>
            <color indexed="81"/>
            <rFont val="Tahoma"/>
            <family val="2"/>
          </rPr>
          <t xml:space="preserve">
</t>
        </r>
        <r>
          <rPr>
            <sz val="9"/>
            <color indexed="81"/>
            <rFont val="Tahoma"/>
            <family val="2"/>
          </rPr>
          <t>Le montant GAIN/ PERTE est reporté dans le BP à la Ligne 74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5" authorId="0" shapeId="0" xr:uid="{4A7A05BB-E2AC-4D91-8FB8-37D8CA6B5B41}">
      <text>
        <r>
          <rPr>
            <sz val="9"/>
            <color indexed="81"/>
            <rFont val="Tahoma"/>
            <family val="2"/>
          </rPr>
          <t xml:space="preserve">Taux propre à chaque entreprise 
</t>
        </r>
      </text>
    </comment>
    <comment ref="B6" authorId="0" shapeId="0" xr:uid="{79F7F667-B230-41F3-87BC-053D0E20AF61}">
      <text>
        <r>
          <rPr>
            <sz val="9"/>
            <color indexed="81"/>
            <rFont val="Tahoma"/>
            <family val="2"/>
          </rPr>
          <t xml:space="preserve">Taux propre à chaque entreprise
</t>
        </r>
      </text>
    </comment>
    <comment ref="B8" authorId="0" shapeId="0" xr:uid="{C4501E46-0D53-49D6-B30D-463EA03ACEE7}">
      <text>
        <r>
          <rPr>
            <sz val="9"/>
            <color indexed="81"/>
            <rFont val="Tahoma"/>
            <family val="2"/>
          </rPr>
          <t xml:space="preserve">
La cotisation Accident du Tavail t Maladies Professionnelles est variable suivant les entreprises et au sein des entrepriss peut être différente selon les postes occupés par les salariés.</t>
        </r>
      </text>
    </comment>
    <comment ref="B26" authorId="0" shapeId="0" xr:uid="{28AA0391-EBB6-421B-9C2F-BC8AB233F8FC}">
      <text>
        <r>
          <rPr>
            <b/>
            <sz val="9"/>
            <color indexed="81"/>
            <rFont val="Tahoma"/>
            <family val="2"/>
          </rPr>
          <t xml:space="preserve"> </t>
        </r>
        <r>
          <rPr>
            <sz val="9"/>
            <color indexed="81"/>
            <rFont val="Tahoma"/>
            <family val="2"/>
          </rPr>
          <t xml:space="preserve">Effectif salariés &lt; 50 </t>
        </r>
      </text>
    </comment>
    <comment ref="B27" authorId="0" shapeId="0" xr:uid="{6C73469C-9C22-4910-940D-97047F48D2DC}">
      <text>
        <r>
          <rPr>
            <sz val="9"/>
            <color indexed="81"/>
            <rFont val="Tahoma"/>
            <family val="2"/>
          </rPr>
          <t xml:space="preserve">
Effectif salariés &gt; = 50</t>
        </r>
      </text>
    </comment>
    <comment ref="B28" authorId="0" shapeId="0" xr:uid="{44567179-B37A-454C-860E-3B1400CA43FC}">
      <text>
        <r>
          <rPr>
            <sz val="9"/>
            <color indexed="81"/>
            <rFont val="Tahoma"/>
            <family val="2"/>
          </rPr>
          <t xml:space="preserve">(Taux Variable) Applicable Si Effectif salariés &gt;= 11
</t>
        </r>
      </text>
    </comment>
    <comment ref="E28" authorId="0" shapeId="0" xr:uid="{A6B328B0-A2D7-4C54-B9F7-BB8986BAE92A}">
      <text>
        <r>
          <rPr>
            <sz val="9"/>
            <color indexed="81"/>
            <rFont val="Tahoma"/>
            <family val="2"/>
          </rPr>
          <t xml:space="preserve">Taux applicable pour Paris et la petite couronne (Hauts-de-Seine, de la Seine-Saint-Denis et du Val-de-Marne) à compter du 01/02/2024 l(e taux est passé de 2,95% à 3,2%)
</t>
        </r>
        <r>
          <rPr>
            <b/>
            <sz val="9"/>
            <color indexed="81"/>
            <rFont val="Tahoma"/>
            <family val="2"/>
          </rPr>
          <t xml:space="preserve">
 </t>
        </r>
        <r>
          <rPr>
            <sz val="9"/>
            <color indexed="81"/>
            <rFont val="Tahoma"/>
            <family val="2"/>
          </rPr>
          <t xml:space="preserve">
</t>
        </r>
      </text>
    </comment>
    <comment ref="B30" authorId="0" shapeId="0" xr:uid="{43A9282C-800A-4B61-BC76-F36CE8D86FB5}">
      <text>
        <r>
          <rPr>
            <b/>
            <sz val="9"/>
            <color indexed="81"/>
            <rFont val="Tahoma"/>
            <family val="2"/>
          </rPr>
          <t xml:space="preserve"> </t>
        </r>
        <r>
          <rPr>
            <sz val="9"/>
            <color indexed="81"/>
            <rFont val="Tahoma"/>
            <family val="2"/>
          </rPr>
          <t>Si Effectif salariés &gt;= 11)</t>
        </r>
      </text>
    </comment>
    <comment ref="B34" authorId="0" shapeId="0" xr:uid="{5A72213A-41BA-4683-8444-929ABAFC226A}">
      <text>
        <r>
          <rPr>
            <sz val="9"/>
            <color indexed="81"/>
            <rFont val="Tahoma"/>
            <family val="2"/>
          </rPr>
          <t>(Si Effectifs salariés &gt; = 11 )</t>
        </r>
      </text>
    </comment>
    <comment ref="B35" authorId="0" shapeId="0" xr:uid="{17DBF075-F752-4BD6-A3DE-D8E71422F62F}">
      <text>
        <r>
          <rPr>
            <sz val="9"/>
            <color indexed="81"/>
            <rFont val="Tahoma"/>
            <family val="2"/>
          </rPr>
          <t xml:space="preserve">(Si Effectifs salariés &lt; 11 )
</t>
        </r>
      </text>
    </comment>
    <comment ref="B36" authorId="0" shapeId="0" xr:uid="{015BCFDF-62B0-403A-8149-458EE4A34163}">
      <text>
        <r>
          <rPr>
            <b/>
            <sz val="9"/>
            <color indexed="81"/>
            <rFont val="Tahoma"/>
            <family val="2"/>
          </rPr>
          <t xml:space="preserve"> 
</t>
        </r>
        <r>
          <rPr>
            <sz val="9"/>
            <color indexed="81"/>
            <rFont val="Tahoma"/>
            <family val="2"/>
          </rPr>
          <t xml:space="preserve">Si Effectifs Salariés &gt;=50 salariés (1)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F79" authorId="0" shapeId="0" xr:uid="{437448DD-99C4-4927-A837-1E8B3C8786C5}">
      <text>
        <r>
          <rPr>
            <sz val="9"/>
            <color indexed="81"/>
            <rFont val="Tahoma"/>
            <family val="2"/>
          </rPr>
          <t xml:space="preserve">Le MNS comprend les IJSS Nettes (2025) lorsque l'entreprise  pratique  la subrogation. 
En cas de non subrogation c'est au salarié de le faire. </t>
        </r>
      </text>
    </comment>
    <comment ref="F83" authorId="0" shapeId="0" xr:uid="{82775510-B3C0-4956-9B0C-80EF659191F7}">
      <text>
        <r>
          <rPr>
            <sz val="9"/>
            <color indexed="81"/>
            <rFont val="Tahoma"/>
            <family val="2"/>
          </rPr>
          <t xml:space="preserve">
En cas de  subrogation les IJSS nettes apparaissent toujours sur le bas du BP</t>
        </r>
      </text>
    </comment>
    <comment ref="D89" authorId="0" shapeId="0" xr:uid="{BE437FAD-31F2-4C7A-B519-1B424658380B}">
      <text>
        <r>
          <rPr>
            <sz val="9"/>
            <color indexed="81"/>
            <rFont val="Tahoma"/>
            <family val="2"/>
          </rPr>
          <t xml:space="preserve">La base du PAS n'est pas toujours égale au Net Imposable. </t>
        </r>
      </text>
    </comment>
    <comment ref="F89" authorId="0" shapeId="0" xr:uid="{E9BE492F-1D09-48B7-8BFA-0799261CB0F7}">
      <text>
        <r>
          <rPr>
            <sz val="9"/>
            <color indexed="81"/>
            <rFont val="Tahoma"/>
            <family val="2"/>
          </rPr>
          <t xml:space="preserve">Le taux du PAS est récupéré automatiquement dans la Feuille TAUX NEUTRE ( dans le cas où celui-ci s'applique) 
</t>
        </r>
      </text>
    </comment>
    <comment ref="A129" authorId="0" shapeId="0" xr:uid="{89B4A630-57F4-43CF-A39A-24DA865FDF6B}">
      <text>
        <r>
          <rPr>
            <sz val="9"/>
            <color indexed="81"/>
            <rFont val="Tahoma"/>
            <family val="2"/>
          </rPr>
          <t>(Si Effectifs salariés &gt; = 11 )</t>
        </r>
      </text>
    </comment>
    <comment ref="A130" authorId="0" shapeId="0" xr:uid="{7125DE88-7697-48DC-8997-D333E1D78900}">
      <text>
        <r>
          <rPr>
            <sz val="9"/>
            <color indexed="81"/>
            <rFont val="Tahoma"/>
            <family val="2"/>
          </rPr>
          <t xml:space="preserve">(Si Effectifs salariés &lt; 11 )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38" authorId="0" shapeId="0" xr:uid="{00000000-0006-0000-0600-000001000000}">
      <text>
        <r>
          <rPr>
            <sz val="9"/>
            <color indexed="81"/>
            <rFont val="Tahoma"/>
            <family val="2"/>
          </rPr>
          <t xml:space="preserve">De façon à déterminer le taux de réduction de cotisations applicable aux heures supplémentaires - sont reportées  dans ce tableau les données du mois pour chacun des salariés. Ces données sont reprises automatiquement à partir du BP </t>
        </r>
      </text>
    </comment>
    <comment ref="B57" authorId="0" shapeId="0" xr:uid="{00000000-0006-0000-0600-000002000000}">
      <text>
        <r>
          <rPr>
            <sz val="9"/>
            <color indexed="81"/>
            <rFont val="Tahoma"/>
            <family val="2"/>
          </rPr>
          <t xml:space="preserve">Le montant repris dans cette cellule est celui des heures supplémentaires et complémentaires du bulletin de paie (Ligne 18  à Ligne 22
) 
</t>
        </r>
      </text>
    </comment>
    <comment ref="D57" authorId="0" shapeId="0" xr:uid="{00000000-0006-0000-0600-000003000000}">
      <text>
        <r>
          <rPr>
            <sz val="9"/>
            <color indexed="81"/>
            <rFont val="Tahoma"/>
            <family val="2"/>
          </rPr>
          <t xml:space="preserve">Pour déterminer le taux de réduction de cotisations qui est applicable aux heures supplémentaires on divise le montant trouvé Ligne 47 par le salaire brut. Ce montant ne peut dépasser 11,31% 
Le taux trouvé  ici est reporté Ligne 68 du Bulletin de Paie. </t>
        </r>
      </text>
    </comment>
    <comment ref="F57" authorId="0" shapeId="0" xr:uid="{00000000-0006-0000-0600-000004000000}">
      <text>
        <r>
          <rPr>
            <sz val="9"/>
            <color indexed="81"/>
            <rFont val="Tahoma"/>
            <family val="2"/>
          </rPr>
          <t xml:space="preserve">La réduction  s'applique tant  que les heures supplémentaires cumulées n'ont pas dépassé 8037
 euros. Si cette limite n'est pas dépassée  la réduction  est alors égale au  montant des heures supplémentaires (ou complémentaires) du mois multiplié par le taux trouvé 
</t>
        </r>
      </text>
    </comment>
    <comment ref="E62" authorId="0" shapeId="0" xr:uid="{00000000-0006-0000-0600-000006000000}">
      <text>
        <r>
          <rPr>
            <sz val="9"/>
            <color indexed="81"/>
            <rFont val="Tahoma"/>
            <family val="2"/>
          </rPr>
          <t xml:space="preserve">Lorsque le Cumul des heures supplémentaires dépasse 5358 la réduction a comme base de calcul 5358  moins le cumul du mois précédent
</t>
        </r>
      </text>
    </comment>
    <comment ref="F84" authorId="0" shapeId="0" xr:uid="{00000000-0006-0000-0600-000007000000}">
      <text>
        <r>
          <rPr>
            <sz val="9"/>
            <color indexed="81"/>
            <rFont val="Tahoma"/>
            <family val="2"/>
          </rPr>
          <t xml:space="preserve">Dans ce tableau sont repris à partir du BP  les élements nécessaires au calcul du Net imposable </t>
        </r>
      </text>
    </comment>
    <comment ref="E94" authorId="0" shapeId="0" xr:uid="{00000000-0006-0000-0600-000008000000}">
      <text>
        <r>
          <rPr>
            <sz val="9"/>
            <color indexed="81"/>
            <rFont val="Tahoma"/>
            <family val="2"/>
          </rPr>
          <t xml:space="preserve">Tant que le seuil de 8037 euros n'a pas été dépassé la CSG à 6,8 % sur les heures supplémentaires est non déductible
</t>
        </r>
      </text>
    </comment>
    <comment ref="E95" authorId="0" shapeId="0" xr:uid="{00000000-0006-0000-0600-000009000000}">
      <text>
        <r>
          <rPr>
            <sz val="9"/>
            <color indexed="81"/>
            <rFont val="Tahoma"/>
            <family val="2"/>
          </rPr>
          <t>Lorsque le montant des heures supplémentaires a dépassé 8037 euros la CSG à 6,8 % sur les heures supplémentaires ayant dépassé ce seuil est déductible</t>
        </r>
      </text>
    </comment>
    <comment ref="E103" authorId="0" shapeId="0" xr:uid="{00000000-0006-0000-0600-00000A000000}">
      <text>
        <r>
          <rPr>
            <sz val="9"/>
            <color indexed="81"/>
            <rFont val="Tahoma"/>
            <family val="2"/>
          </rPr>
          <t xml:space="preserve">Les heures Supplémentaires au-delà de 8037 euros ne sont pas déductibles fiscalement et sont donc imposables à l'Impôt sur le revenu
</t>
        </r>
      </text>
    </comment>
    <comment ref="F103" authorId="0" shapeId="0" xr:uid="{00000000-0006-0000-0600-00000B000000}">
      <text>
        <r>
          <rPr>
            <sz val="9"/>
            <color indexed="81"/>
            <rFont val="Tahoma"/>
            <family val="2"/>
          </rPr>
          <t xml:space="preserve">La partie des heures supplémentaires cumulées qui dépasse 8037 euros devient imposable
</t>
        </r>
      </text>
    </comment>
    <comment ref="E105" authorId="0" shapeId="0" xr:uid="{00000000-0006-0000-0600-00000C000000}">
      <text>
        <r>
          <rPr>
            <sz val="9"/>
            <color indexed="81"/>
            <rFont val="Tahoma"/>
            <family val="2"/>
          </rPr>
          <t xml:space="preserve">Ce montant est reporté dans le BP 
</t>
        </r>
      </text>
    </comment>
    <comment ref="D129" authorId="0" shapeId="0" xr:uid="{1A55DE91-DD69-4D94-BA80-912DD261B817}">
      <text>
        <r>
          <rPr>
            <sz val="9"/>
            <color indexed="81"/>
            <rFont val="Tahoma"/>
            <family val="2"/>
          </rPr>
          <t xml:space="preserve">Lorsque le Salaire Brut est supérieur à 4 *PMSS la base CSG CRDS est calculée sur 0,9825 * 4 * PMSS + Brut - 4 * PMSS </t>
        </r>
        <r>
          <rPr>
            <b/>
            <sz val="9"/>
            <color indexed="81"/>
            <rFont val="Tahoma"/>
            <family val="2"/>
          </rPr>
          <t xml:space="preserve">
</t>
        </r>
        <r>
          <rPr>
            <sz val="9"/>
            <color indexed="81"/>
            <rFont val="Tahoma"/>
            <family val="2"/>
          </rPr>
          <t xml:space="preserve">
</t>
        </r>
      </text>
    </comment>
    <comment ref="D133" authorId="0" shapeId="0" xr:uid="{2C35A6B5-D193-4E82-8BDF-ED7D358A2C83}">
      <text>
        <r>
          <rPr>
            <sz val="9"/>
            <color indexed="81"/>
            <rFont val="Tahoma"/>
            <family val="2"/>
          </rPr>
          <t xml:space="preserve">Dans les cellules de calcul ci-dessous les formules commencent par voir si le Salaire brut total est supérieur ou non à la limite de 4 *PMSS </t>
        </r>
        <r>
          <rPr>
            <b/>
            <sz val="9"/>
            <color indexed="81"/>
            <rFont val="Tahoma"/>
            <family val="2"/>
          </rPr>
          <t xml:space="preserve">
</t>
        </r>
        <r>
          <rPr>
            <sz val="9"/>
            <color indexed="81"/>
            <rFont val="Tahoma"/>
            <family val="2"/>
          </rPr>
          <t xml:space="preserve">
</t>
        </r>
      </text>
    </comment>
    <comment ref="D134" authorId="0" shapeId="0" xr:uid="{04F48570-F6E7-4366-8D9D-309BA1CF9070}">
      <text>
        <r>
          <rPr>
            <b/>
            <sz val="9"/>
            <color indexed="81"/>
            <rFont val="Tahoma"/>
            <family val="2"/>
          </rPr>
          <t>Bienvenue:</t>
        </r>
        <r>
          <rPr>
            <sz val="9"/>
            <color indexed="81"/>
            <rFont val="Tahoma"/>
            <family val="2"/>
          </rPr>
          <t xml:space="preserve">
La base CSG CRDS comprend en particulier la PP des cotisations santé (mutuelles) Prévoyance et Retraite Supplémentaire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266A25FE-FF87-47FA-A90D-78363FBAA609}">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sharedStrings.xml><?xml version="1.0" encoding="utf-8"?>
<sst xmlns="http://schemas.openxmlformats.org/spreadsheetml/2006/main" count="1347" uniqueCount="791">
  <si>
    <t>EMPLOYEUR</t>
  </si>
  <si>
    <t>SALARIE</t>
  </si>
  <si>
    <t>Nom :</t>
  </si>
  <si>
    <t>Adresse :</t>
  </si>
  <si>
    <t>Prénom :</t>
  </si>
  <si>
    <t>Emploi :</t>
  </si>
  <si>
    <t>N° SIRET</t>
  </si>
  <si>
    <t>Position :</t>
  </si>
  <si>
    <t>Code APE</t>
  </si>
  <si>
    <t>N° de S.S. :</t>
  </si>
  <si>
    <t>URSSAF</t>
  </si>
  <si>
    <t>Effectif</t>
  </si>
  <si>
    <t>Statut = C ou NC ou D</t>
  </si>
  <si>
    <t xml:space="preserve">Heures URSSAF </t>
  </si>
  <si>
    <t xml:space="preserve">SMICH </t>
  </si>
  <si>
    <t>Au :</t>
  </si>
  <si>
    <t xml:space="preserve">Payé le </t>
  </si>
  <si>
    <t xml:space="preserve"> Salaire de base</t>
  </si>
  <si>
    <t>à</t>
  </si>
  <si>
    <t xml:space="preserve">Avantages en nature </t>
  </si>
  <si>
    <t xml:space="preserve">à </t>
  </si>
  <si>
    <t>Commissions</t>
  </si>
  <si>
    <t>Maintien du salaire</t>
  </si>
  <si>
    <t xml:space="preserve">IJSS Brute </t>
  </si>
  <si>
    <t xml:space="preserve">Garantie du Net </t>
  </si>
  <si>
    <t xml:space="preserve">Indemnité de congés payés </t>
  </si>
  <si>
    <t>Indemnité compensatrice de congés payés</t>
  </si>
  <si>
    <t xml:space="preserve">Indemnité de licenciement </t>
  </si>
  <si>
    <t>Prime annuelle</t>
  </si>
  <si>
    <t>PLAFOND S.S.  :</t>
  </si>
  <si>
    <t>SALAIRE BRUT TOTAL</t>
  </si>
  <si>
    <t xml:space="preserve">Cotisations et contributions sociales </t>
  </si>
  <si>
    <t>Base</t>
  </si>
  <si>
    <t xml:space="preserve">Tx Salarial </t>
  </si>
  <si>
    <t xml:space="preserve">Tx patronal </t>
  </si>
  <si>
    <t xml:space="preserve">Part salariale </t>
  </si>
  <si>
    <t xml:space="preserve">Part patronale </t>
  </si>
  <si>
    <t xml:space="preserve">SANTE </t>
  </si>
  <si>
    <t xml:space="preserve">ACCIDENT DU TRAVAIL - MALADIES PROFESSIONNELLES </t>
  </si>
  <si>
    <t xml:space="preserve">RETRAITE </t>
  </si>
  <si>
    <t>Sécurité Sociale Plafonnée</t>
  </si>
  <si>
    <t xml:space="preserve">Sécurité Sociale déplafonnée </t>
  </si>
  <si>
    <t>Complémentaire T1</t>
  </si>
  <si>
    <t xml:space="preserve">Complémentaire T2 </t>
  </si>
  <si>
    <t xml:space="preserve">FAMILLE  </t>
  </si>
  <si>
    <t xml:space="preserve">ASSURANCE CHOMAGE </t>
  </si>
  <si>
    <t xml:space="preserve">AUTRES CONTRIBUTIONS DUES PAR L'EMPLOYEUR </t>
  </si>
  <si>
    <t>Forfait social</t>
  </si>
  <si>
    <t xml:space="preserve">COTISATIONS STATUTAIRES OU PREVUES PAR LA CONVENTION COLLECTIVE  </t>
  </si>
  <si>
    <t xml:space="preserve">C.S.G  déductible de l'impôt sur le revenu </t>
  </si>
  <si>
    <t xml:space="preserve">C.S.G./ C.R.D.S non déductible de l'impôt sur le revenu </t>
  </si>
  <si>
    <t xml:space="preserve">CSG  6,8 % sur Heures Supplémentaires  Non déductible </t>
  </si>
  <si>
    <t xml:space="preserve">CSG  6,8 % sur Heures supplémentaires Déductible </t>
  </si>
  <si>
    <t>CSG / CRDS 2,9 %  (Non déductible) sur Heures Supplémentaires</t>
  </si>
  <si>
    <t xml:space="preserve">Réduction cotisations heures supplémentaires , complémentaires et autres </t>
  </si>
  <si>
    <t xml:space="preserve">Total des Cotisations et Contributions </t>
  </si>
  <si>
    <t>Indemnité de transport</t>
  </si>
  <si>
    <t xml:space="preserve">Dont évolution de la rémunération liée à la suppression des cotisations maladie et assurance chômage  </t>
  </si>
  <si>
    <t xml:space="preserve">Total versé par l'employeur </t>
  </si>
  <si>
    <t>« Pour plus d’informations, voir la rubrique dédiée au bulletin de paye sur www.service-public.fr ».</t>
  </si>
  <si>
    <t xml:space="preserve">Base </t>
  </si>
  <si>
    <t>Montant</t>
  </si>
  <si>
    <t xml:space="preserve">Net imposable </t>
  </si>
  <si>
    <t xml:space="preserve">Pour faire valoir vos droits conservez ce bulletin de paie sans limitation de durée </t>
  </si>
  <si>
    <t xml:space="preserve">Mois </t>
  </si>
  <si>
    <t xml:space="preserve">NET A PAYER AVANT IMPOT SUR LE REVENU </t>
  </si>
  <si>
    <t xml:space="preserve">Impöt sur le revenu </t>
  </si>
  <si>
    <t xml:space="preserve">Taux personnalisé / Taux non personnalisé </t>
  </si>
  <si>
    <t>Libellé</t>
  </si>
  <si>
    <t>Cotisations 
salariales</t>
  </si>
  <si>
    <t>Cotisations 
patronales</t>
  </si>
  <si>
    <t>Contribution de solidarité pour l'autonomie</t>
  </si>
  <si>
    <t xml:space="preserve">Contribution dialogue social </t>
  </si>
  <si>
    <t>Contribution d'équilibre général  T1 (CEG T1)</t>
  </si>
  <si>
    <t>Contribution d'équilibre général  T2 (CEG T2)</t>
  </si>
  <si>
    <t>Contribution d'équilibre Technique  T1 (CET T1)</t>
  </si>
  <si>
    <t xml:space="preserve">Contribution d'équilibre Technique  T2 (CET T2) </t>
  </si>
  <si>
    <t>Taxe d'apprentissage</t>
  </si>
  <si>
    <t>Formation professionnelle</t>
  </si>
  <si>
    <t xml:space="preserve">1,5 euro / Heure suppl </t>
  </si>
  <si>
    <t xml:space="preserve">POLE SANTE </t>
  </si>
  <si>
    <t xml:space="preserve">POLE RETRAITE </t>
  </si>
  <si>
    <t xml:space="preserve">AUTRES CONTRIBUTIONS </t>
  </si>
  <si>
    <t xml:space="preserve">Participation à l'effort de construction </t>
  </si>
  <si>
    <t xml:space="preserve">Montant patronal </t>
  </si>
  <si>
    <t>PS</t>
  </si>
  <si>
    <t>PP</t>
  </si>
  <si>
    <t>MOIS</t>
  </si>
  <si>
    <t xml:space="preserve">Autres contributions </t>
  </si>
  <si>
    <t xml:space="preserve">Forfait social </t>
  </si>
  <si>
    <t>Taux patronal</t>
  </si>
  <si>
    <t xml:space="preserve">FNAL Base plafonnée </t>
  </si>
  <si>
    <t xml:space="preserve">FNAL Totalité </t>
  </si>
  <si>
    <t xml:space="preserve">TOTAL </t>
  </si>
  <si>
    <t>Suppression de la cotisation maladie applicable au 31/12/2017</t>
  </si>
  <si>
    <t>Montant de la part salariale de cotisation chômage supprimée</t>
  </si>
  <si>
    <t xml:space="preserve">Augmentation de la CSG CRDS </t>
  </si>
  <si>
    <t xml:space="preserve">GAIN / PERTE </t>
  </si>
  <si>
    <t xml:space="preserve">Pris </t>
  </si>
  <si>
    <t xml:space="preserve">Mt Pat </t>
  </si>
  <si>
    <t xml:space="preserve">Base du PAS </t>
  </si>
  <si>
    <t>Taux</t>
  </si>
  <si>
    <t>Tranche inférieure</t>
  </si>
  <si>
    <t xml:space="preserve">Taux </t>
  </si>
  <si>
    <t xml:space="preserve">Acquis </t>
  </si>
  <si>
    <t>JANVIER</t>
  </si>
  <si>
    <t>MARS</t>
  </si>
  <si>
    <t>JUIN</t>
  </si>
  <si>
    <t>OCTOBRE</t>
  </si>
  <si>
    <t>MAI</t>
  </si>
  <si>
    <t>JUILLET</t>
  </si>
  <si>
    <t>AOÛT</t>
  </si>
  <si>
    <t>SEPTEMBRE</t>
  </si>
  <si>
    <t>NOVEMBRE</t>
  </si>
  <si>
    <t>DÉCEMBRE</t>
  </si>
  <si>
    <t xml:space="preserve">Montant à reporter sur le Bulletin de paie </t>
  </si>
  <si>
    <t xml:space="preserve">Tableau 1. </t>
  </si>
  <si>
    <t>BRUT</t>
  </si>
  <si>
    <t>PLAFOND</t>
  </si>
  <si>
    <t>PLAFOND CUMULE</t>
  </si>
  <si>
    <t xml:space="preserve">BRUT CUMULE </t>
  </si>
  <si>
    <t xml:space="preserve">TA  / T1  CUMULEE </t>
  </si>
  <si>
    <t xml:space="preserve">TA  / T1 du MOIS </t>
  </si>
  <si>
    <t xml:space="preserve">TB CUMULEE </t>
  </si>
  <si>
    <t xml:space="preserve">TB du MOIS </t>
  </si>
  <si>
    <t xml:space="preserve">T2 CUMULEE </t>
  </si>
  <si>
    <t xml:space="preserve">T2 du mois </t>
  </si>
  <si>
    <t>FEVRIER</t>
  </si>
  <si>
    <t>AVRIL</t>
  </si>
  <si>
    <t xml:space="preserve">Tableau 2 </t>
  </si>
  <si>
    <t xml:space="preserve">Contribution d'Equilibre Technique CET T1 / CET T2 </t>
  </si>
  <si>
    <t>Colonne 1</t>
  </si>
  <si>
    <t>Colonne 2</t>
  </si>
  <si>
    <t>Colonne 3</t>
  </si>
  <si>
    <t>Colonne 4</t>
  </si>
  <si>
    <t>Colonne 5</t>
  </si>
  <si>
    <t>Colonne 6</t>
  </si>
  <si>
    <t>Colonne 7</t>
  </si>
  <si>
    <t>Colonne 8</t>
  </si>
  <si>
    <t>Colonne 9</t>
  </si>
  <si>
    <t xml:space="preserve"> T1  CUMULEE </t>
  </si>
  <si>
    <t xml:space="preserve">T1 du MOIS </t>
  </si>
  <si>
    <t xml:space="preserve">Janvier </t>
  </si>
  <si>
    <t xml:space="preserve">Février </t>
  </si>
  <si>
    <t xml:space="preserve">Mai </t>
  </si>
  <si>
    <t>Juin</t>
  </si>
  <si>
    <t xml:space="preserve">Juillet </t>
  </si>
  <si>
    <t xml:space="preserve">Base du mois </t>
  </si>
  <si>
    <t xml:space="preserve">Montants  du mois </t>
  </si>
  <si>
    <t xml:space="preserve">Tableau 2. </t>
  </si>
  <si>
    <t xml:space="preserve">Suivi Heures supplémentaires / Heures complémentaires </t>
  </si>
  <si>
    <t xml:space="preserve">Montant des heures supp/ Compl du mois </t>
  </si>
  <si>
    <t xml:space="preserve">Réduction  du mois </t>
  </si>
  <si>
    <t>Février</t>
  </si>
  <si>
    <t>Mars</t>
  </si>
  <si>
    <t>Avril</t>
  </si>
  <si>
    <t>Mai</t>
  </si>
  <si>
    <t>Juillet</t>
  </si>
  <si>
    <t>Août</t>
  </si>
  <si>
    <t>Septembre</t>
  </si>
  <si>
    <t>Octobre</t>
  </si>
  <si>
    <t>Novembre</t>
  </si>
  <si>
    <t>Décembre</t>
  </si>
  <si>
    <t xml:space="preserve">Salaire brut hors Heures suppl / compl et hors AN </t>
  </si>
  <si>
    <t>Heures Suppl / Compl</t>
  </si>
  <si>
    <t>CSG CRDS 2,9 %  Non déductible Hors Hsuppl / Compl</t>
  </si>
  <si>
    <t>CSG 6,8 % Non déductible Hsuppl / Compl</t>
  </si>
  <si>
    <t>CSG 6,8 % Déductible sur Hsuppl / Compl</t>
  </si>
  <si>
    <t>CSG  CRDS 2,9 % Non déductible sur Hsuppl / Compl</t>
  </si>
  <si>
    <t xml:space="preserve">Total des cotisations salariales </t>
  </si>
  <si>
    <t xml:space="preserve">Total PP mutuelles frais de santé </t>
  </si>
  <si>
    <t xml:space="preserve">Heures supplémentaires cumulées </t>
  </si>
  <si>
    <t xml:space="preserve">Heures supplémentaires du mois </t>
  </si>
  <si>
    <t>Salaire brut hors hsupp</t>
  </si>
  <si>
    <t>hsupp</t>
  </si>
  <si>
    <t xml:space="preserve">Brut total cumulé </t>
  </si>
  <si>
    <t xml:space="preserve">pmss Cumulé </t>
  </si>
  <si>
    <t>4 PMSS Cumulé</t>
  </si>
  <si>
    <t xml:space="preserve">PP Cotisations frais de santé et hors frais de santé </t>
  </si>
  <si>
    <t xml:space="preserve">Base CSG CRDS  hors HSUPP </t>
  </si>
  <si>
    <t xml:space="preserve">Base CSG CRDS HSUPP </t>
  </si>
  <si>
    <t xml:space="preserve">Versement Mobilité </t>
  </si>
  <si>
    <t>Salaire brut</t>
  </si>
  <si>
    <t xml:space="preserve">Cas du dépassement de la limite de 4*PMSS et Base CSG CRDS </t>
  </si>
  <si>
    <t>Salaire de base hors HS</t>
  </si>
  <si>
    <t xml:space="preserve">Heures Suppl et Compl. </t>
  </si>
  <si>
    <t xml:space="preserve">Limite </t>
  </si>
  <si>
    <t xml:space="preserve">Prévoyance et mutuelle </t>
  </si>
  <si>
    <t>CSG Non déductible Heures Suppl</t>
  </si>
  <si>
    <t xml:space="preserve">CSG déductible sur Heures Sup </t>
  </si>
  <si>
    <t>CSG / CRDS Non déductible hors heures Supp</t>
  </si>
  <si>
    <t>CSG CRDS Non Déductible sur Heures Sup</t>
  </si>
  <si>
    <t xml:space="preserve">Réduction de Cotisation sur heures Sup </t>
  </si>
  <si>
    <t>CSG  déductible Hors Heures Sup.</t>
  </si>
  <si>
    <t xml:space="preserve">PP des TR à réintégrer  </t>
  </si>
  <si>
    <t xml:space="preserve">MARTINO </t>
  </si>
  <si>
    <t xml:space="preserve">Rapport au salaire brut </t>
  </si>
  <si>
    <t xml:space="preserve">1. Détermination du taux de réduction de cotisations applicable aux heures supplémentairs ( Cellule E 68 du Bulletin de Paie)  </t>
  </si>
  <si>
    <t xml:space="preserve">Mutuelle Cadres </t>
  </si>
  <si>
    <t>Mars MARTINO</t>
  </si>
  <si>
    <t xml:space="preserve">Salarié X </t>
  </si>
  <si>
    <t>Salarié Y</t>
  </si>
  <si>
    <t>Assurance décés des cadres  (TA)</t>
  </si>
  <si>
    <t>Maintien de salaire TA</t>
  </si>
  <si>
    <t xml:space="preserve">Maintien de salaire TB </t>
  </si>
  <si>
    <t>Chômage ( TA+TB)</t>
  </si>
  <si>
    <t xml:space="preserve">URSSAF FNAL Taux réduit  TA </t>
  </si>
  <si>
    <t xml:space="preserve">URSSAF FNAL Totalité </t>
  </si>
  <si>
    <t xml:space="preserve">Formation professionnelle </t>
  </si>
  <si>
    <t xml:space="preserve">Tickets restaurant Exonération maximale de la Part Patronale </t>
  </si>
  <si>
    <t>Départements</t>
  </si>
  <si>
    <t>Paris (75) et départements des Hauts-de-Seine (92)</t>
  </si>
  <si>
    <t>2,95 %</t>
  </si>
  <si>
    <t>Départements de la Seine-Saint-Denis et du Val-de-Marne</t>
  </si>
  <si>
    <t>Communes de la région parisienne autres que Paris et les communes du département des Hauts-de-Seine, de la Seine-Saint-Denis et du Val-de-Marne (cf. ci-après)</t>
  </si>
  <si>
    <t xml:space="preserve">Consulter les taux applicables sur le site  de URSSAF à l'adresse suivante : </t>
  </si>
  <si>
    <r>
      <t xml:space="preserve">  </t>
    </r>
    <r>
      <rPr>
        <i/>
        <sz val="11"/>
        <color theme="1"/>
        <rFont val="Times New Roman"/>
        <family val="1"/>
      </rPr>
      <t xml:space="preserve"> https://www.urssaf.fr/portail/home/taux-et-baremes/versement-mobilite.html</t>
    </r>
  </si>
  <si>
    <t>0,5 euro / Heure Suppl</t>
  </si>
  <si>
    <t xml:space="preserve">Déduction forfaitaire sur les Heures supplémentaires  moins de 20 salariés </t>
  </si>
  <si>
    <t xml:space="preserve">Pass Navigo RP </t>
  </si>
  <si>
    <t>AGS (TA+TB)</t>
  </si>
  <si>
    <t>C</t>
  </si>
  <si>
    <t xml:space="preserve">Forfait social sur Retraite Supplémentaire Art 83 </t>
  </si>
  <si>
    <t xml:space="preserve">Heures supplémentaires ayant dépassé 8037  euros </t>
  </si>
  <si>
    <t>Heures supplémentaires du mois Cumulées  au-dela de 8037</t>
  </si>
  <si>
    <t>Heures supplémentaires du mois  au-dela de 8037</t>
  </si>
  <si>
    <t xml:space="preserve">Montant Net Social </t>
  </si>
  <si>
    <t xml:space="preserve">Net Imposable </t>
  </si>
  <si>
    <t xml:space="preserve">Montant net des heures supplémentaires / Complémentaires/ RTT Exonérées </t>
  </si>
  <si>
    <t xml:space="preserve">Impöt sur le revenu Prélevé à la source </t>
  </si>
  <si>
    <t>EXONERATIONS, ECRETEMENTS ET ALLEGEMENTS DE COTISATIONS</t>
  </si>
  <si>
    <t xml:space="preserve">Net à payer au salarié </t>
  </si>
  <si>
    <t xml:space="preserve">          BULLETIN  DE  SALAIRE</t>
  </si>
  <si>
    <t xml:space="preserve">  PERIODE DU  :</t>
  </si>
  <si>
    <t xml:space="preserve">AN TR </t>
  </si>
  <si>
    <t>Heures complémentaires à + 10 %</t>
  </si>
  <si>
    <t xml:space="preserve">Heures complémentaires à + 25 % </t>
  </si>
  <si>
    <t xml:space="preserve">Heures supplémentaires à + 10 % </t>
  </si>
  <si>
    <t xml:space="preserve"> Heures supplémentaires  à  + 25 %</t>
  </si>
  <si>
    <t xml:space="preserve"> Heures supplémentaires  à  + 50 %</t>
  </si>
  <si>
    <t>Chômage</t>
  </si>
  <si>
    <t xml:space="preserve">Reste </t>
  </si>
  <si>
    <t xml:space="preserve">Acquis sur le mois </t>
  </si>
  <si>
    <t xml:space="preserve">CSG sur Heures Supplémentaires  Non déductible </t>
  </si>
  <si>
    <t xml:space="preserve">CSG sur Heures supplémentaires Déductible </t>
  </si>
  <si>
    <t>CSG / CRDS (Non déductible) sur Heures Supplémentaires</t>
  </si>
  <si>
    <t>(2,4 -0,95)</t>
  </si>
  <si>
    <t xml:space="preserve">Attention : calculée sur la TA+TB </t>
  </si>
  <si>
    <t xml:space="preserve">A  compter du 1 er Octobre </t>
  </si>
  <si>
    <t>(2,4 )</t>
  </si>
  <si>
    <t xml:space="preserve">Mutuelle Non Cadres </t>
  </si>
  <si>
    <t xml:space="preserve">Cotisations et Contributions Sociales Facultatives </t>
  </si>
  <si>
    <t xml:space="preserve">Prévoyance Complémentaire Non Cadres </t>
  </si>
  <si>
    <t xml:space="preserve">Prévoyance Complémentaire Cadres </t>
  </si>
  <si>
    <t>Tickets Restaurant PS et PP</t>
  </si>
  <si>
    <t xml:space="preserve">IndemnIté de Transport </t>
  </si>
  <si>
    <t xml:space="preserve">A </t>
  </si>
  <si>
    <t>B</t>
  </si>
  <si>
    <t>D</t>
  </si>
  <si>
    <t>E</t>
  </si>
  <si>
    <t>F</t>
  </si>
  <si>
    <t>G</t>
  </si>
  <si>
    <t xml:space="preserve">Cotisations et Contributions Obligatoires </t>
  </si>
  <si>
    <t xml:space="preserve">FAMILLE </t>
  </si>
  <si>
    <t xml:space="preserve">ASSURANCE CHÔMAGE </t>
  </si>
  <si>
    <t xml:space="preserve">Cotisations et Contributions Facultatives </t>
  </si>
  <si>
    <t xml:space="preserve">PS </t>
  </si>
  <si>
    <t>CEG T1</t>
  </si>
  <si>
    <t xml:space="preserve">CEG T2 </t>
  </si>
  <si>
    <t>CET T1</t>
  </si>
  <si>
    <t>CET T2</t>
  </si>
  <si>
    <t xml:space="preserve">Salaire Brut Inférieur au PMSS </t>
  </si>
  <si>
    <t>Salaire Brut supérieur au PMSS</t>
  </si>
  <si>
    <t>Complémentaire T1  (sur le BP)</t>
  </si>
  <si>
    <t xml:space="preserve">Complémentaire T2 (sur le BP) </t>
  </si>
  <si>
    <t>Versement de  mobilité</t>
  </si>
  <si>
    <t>APEC (TA+TB)</t>
  </si>
  <si>
    <t>Avantage en nature</t>
  </si>
  <si>
    <t>Net à payer au salarié (en euros)</t>
  </si>
  <si>
    <t xml:space="preserve">EXONERATIONS ET ALLEGEMENTS DE COTISATIONS </t>
  </si>
  <si>
    <t xml:space="preserve">Cumuls </t>
  </si>
  <si>
    <t xml:space="preserve">Prélèvement à la source </t>
  </si>
  <si>
    <t>Congés Payés N-1 / N</t>
  </si>
  <si>
    <t>Congés Payés N / N+1</t>
  </si>
  <si>
    <t>Tx Pat.</t>
  </si>
  <si>
    <t>Heures Suppl. / Compl. défiscalisées</t>
  </si>
  <si>
    <t xml:space="preserve">Cotisations et Contributions Sociales Obligatoires </t>
  </si>
  <si>
    <t>H</t>
  </si>
  <si>
    <t>I</t>
  </si>
  <si>
    <t xml:space="preserve">Effectifs de l'entreprise </t>
  </si>
  <si>
    <t xml:space="preserve">SMIC Horaire applicable </t>
  </si>
  <si>
    <t>A</t>
  </si>
  <si>
    <t xml:space="preserve">Articles du code du travail : durée des congés payés : L. 3141-3 à 11, L. 3141-23 durée du préavis : L 1234-1 et L. 1234-2, L 1237-1, L 1237-6, L 1237-10 </t>
  </si>
  <si>
    <t xml:space="preserve">Cumul mois précédent </t>
  </si>
  <si>
    <t xml:space="preserve">Total des Avantages en nature du mois </t>
  </si>
  <si>
    <t xml:space="preserve">Montant Cumulé des heures supplémentaires en début de mois </t>
  </si>
  <si>
    <t xml:space="preserve">Montant Cumulé des Heures Supplémentaires n Fin de mois </t>
  </si>
  <si>
    <t xml:space="preserve">Heures Supplémentaires défiscalisées du mois </t>
  </si>
  <si>
    <t xml:space="preserve"> </t>
  </si>
  <si>
    <t xml:space="preserve">Montant net des heures supplémentaires / Complémentaires/ RTT Non Exonérées </t>
  </si>
  <si>
    <t>mesdroitssociaux.gouv.fr</t>
  </si>
  <si>
    <t xml:space="preserve">Nombre d'heures contractuelles </t>
  </si>
  <si>
    <t xml:space="preserve">Salaire de base </t>
  </si>
  <si>
    <t xml:space="preserve">Annexe 1 </t>
  </si>
  <si>
    <t xml:space="preserve">Nom </t>
  </si>
  <si>
    <t xml:space="preserve">ATGR </t>
  </si>
  <si>
    <t xml:space="preserve">Adresse </t>
  </si>
  <si>
    <t xml:space="preserve">3 Rue Paul Vaillant Couturier 92300 Levallois-Perret </t>
  </si>
  <si>
    <t xml:space="preserve">SIRET (14 chiffres) </t>
  </si>
  <si>
    <t xml:space="preserve">Code APE (4 chiffres et 1 lettre) </t>
  </si>
  <si>
    <t xml:space="preserve">7111C </t>
  </si>
  <si>
    <t>Convention collective applicable ( nom de la convention et du code IDCC)</t>
  </si>
  <si>
    <t xml:space="preserve">Nombre de salariés dans l'entreprise </t>
  </si>
  <si>
    <t xml:space="preserve">Totalité </t>
  </si>
  <si>
    <t xml:space="preserve">Prévoyance Complémentaire  Cadres </t>
  </si>
  <si>
    <t>(1)</t>
  </si>
  <si>
    <t xml:space="preserve">Taux accident de travail </t>
  </si>
  <si>
    <t>Taux versement Mobilité</t>
  </si>
  <si>
    <t xml:space="preserve">Nom du salarié </t>
  </si>
  <si>
    <t xml:space="preserve">Prénom </t>
  </si>
  <si>
    <t xml:space="preserve">Hervé </t>
  </si>
  <si>
    <t xml:space="preserve">3 Rue Paul  92700 Colombes </t>
  </si>
  <si>
    <t xml:space="preserve">Emploi </t>
  </si>
  <si>
    <t xml:space="preserve">Position dans la classification </t>
  </si>
  <si>
    <t xml:space="preserve">Numéro de SS </t>
  </si>
  <si>
    <t>1.63.11.59.52.55.</t>
  </si>
  <si>
    <t>Statut du salarié (NC / C )</t>
  </si>
  <si>
    <t xml:space="preserve">Tapez le Code (1 pour Non Cadre - 2  pour Cadre) </t>
  </si>
  <si>
    <t>Début Période de paie</t>
  </si>
  <si>
    <t xml:space="preserve">Fin de période de paie </t>
  </si>
  <si>
    <t xml:space="preserve">Date de paiement du salaire </t>
  </si>
  <si>
    <t xml:space="preserve">Plafond </t>
  </si>
  <si>
    <t xml:space="preserve">Nombre de TR </t>
  </si>
  <si>
    <t>PS des TR</t>
  </si>
  <si>
    <t xml:space="preserve">PP  des TR </t>
  </si>
  <si>
    <t xml:space="preserve">Remboursement Carte Navigo </t>
  </si>
  <si>
    <t xml:space="preserve">Annexe 2. </t>
  </si>
  <si>
    <t xml:space="preserve">Vous disposez des tableaux suivants que vous devez reproduire en respectant soigneusement les numéros de lignes et de colonnes </t>
  </si>
  <si>
    <t xml:space="preserve">TABLE DES TAUX </t>
  </si>
  <si>
    <t xml:space="preserve">MAQUETTE SOURCE VIERGE </t>
  </si>
  <si>
    <t xml:space="preserve">Sur cette  derniére feuille  vous constatez que certaines lignes sont cachées </t>
  </si>
  <si>
    <t>Ligne 13</t>
  </si>
  <si>
    <t>Lignes 15 à 19</t>
  </si>
  <si>
    <t xml:space="preserve">Lignes 21  à 31 </t>
  </si>
  <si>
    <t xml:space="preserve">Lignes 64 -65 -66 </t>
  </si>
  <si>
    <t xml:space="preserve">Ligne 68 </t>
  </si>
  <si>
    <t xml:space="preserve">Il vous faut cependant  impérativement créer ces lignes  puis y saisir les libellés qui y figurent </t>
  </si>
  <si>
    <t>Vous trouverez le détail de ces lignes dans la feuille</t>
  </si>
  <si>
    <t xml:space="preserve">PARTIE de TRAME DETAILLEE </t>
  </si>
  <si>
    <t xml:space="preserve">Quant aux lignes 64-65-66 et 68  doivent être présentées comme ci-dessous </t>
  </si>
  <si>
    <t>Taux salarial</t>
  </si>
  <si>
    <t xml:space="preserve">Montant salarial </t>
  </si>
  <si>
    <t xml:space="preserve">Ligne 64 </t>
  </si>
  <si>
    <t xml:space="preserve">Ligne 65 </t>
  </si>
  <si>
    <t>Ligne 66</t>
  </si>
  <si>
    <t xml:space="preserve">Une fois la saisie effectuée vous cacherez les Lignes indiquées ci-dessus. </t>
  </si>
  <si>
    <t>cf MODE OPERATOIRE dans la correction.</t>
  </si>
  <si>
    <t xml:space="preserve">Vous créerez donc un DOSSIER  avec  LE NUMERO de ce TD </t>
  </si>
  <si>
    <t xml:space="preserve">Puis vous ouvrirez un CLASSEUR  et vous créerez 5  FEUILLES que vous nommerez :  </t>
  </si>
  <si>
    <t xml:space="preserve">ENONCE  </t>
  </si>
  <si>
    <t xml:space="preserve">MAQUETTE SOURCE </t>
  </si>
  <si>
    <t xml:space="preserve">CADRE </t>
  </si>
  <si>
    <t xml:space="preserve">NON CADRE </t>
  </si>
  <si>
    <t xml:space="preserve">Vous pourrez aller sur le site du Livre et récupérer la Feuille ENONCE au format EXCEL  que vous recopierez ensuite  dans votre feuille </t>
  </si>
  <si>
    <t xml:space="preserve">Annexe 3 . </t>
  </si>
  <si>
    <t xml:space="preserve">Questions   et recherches. </t>
  </si>
  <si>
    <t xml:space="preserve">Retrouvez sur Internet les références exactes de la CCN applicable aux entreprises d'architecture (IDCC et Numéro de Brochure) </t>
  </si>
  <si>
    <t xml:space="preserve">Retrouvez sur Internet les  dernières  grilles de salaires applicables; Quelle est la valeur du point ? </t>
  </si>
  <si>
    <t xml:space="preserve">Compte tenu du coefficient  hiérarchique quel est le salaire minimum convetionnel de Madame GRAVELINE et de Madame FERNANDEZ </t>
  </si>
  <si>
    <t xml:space="preserve">Retrouvez sur Internet le Remboursement de la Carte Navigo </t>
  </si>
  <si>
    <t xml:space="preserve">Retrouvez sur Internet le taux du versement de transport applicable </t>
  </si>
  <si>
    <t>Solution</t>
  </si>
  <si>
    <t xml:space="preserve">CCN des entreprises d'architecture </t>
  </si>
  <si>
    <t>Code IDCC</t>
  </si>
  <si>
    <t xml:space="preserve">Numéro de brochure </t>
  </si>
  <si>
    <t>Valeur du point 2019</t>
  </si>
  <si>
    <t>Coefficient hiérarchique</t>
  </si>
  <si>
    <t xml:space="preserve">Graveline </t>
  </si>
  <si>
    <t xml:space="preserve">Fernandez </t>
  </si>
  <si>
    <t xml:space="preserve">Salaire minimum conventionnel </t>
  </si>
  <si>
    <t xml:space="preserve">Tickets Restaurant  PS / PP </t>
  </si>
  <si>
    <t>Heures Suppl/ Compl non défiscalisées</t>
  </si>
  <si>
    <t>TOTAL 1</t>
  </si>
  <si>
    <t xml:space="preserve">Mutuelle   Non Cadres </t>
  </si>
  <si>
    <t>Prévoyance Complémentaire   Non Cadres</t>
  </si>
  <si>
    <t xml:space="preserve">Assurance décés des Cadres </t>
  </si>
  <si>
    <t xml:space="preserve">TA </t>
  </si>
  <si>
    <t xml:space="preserve">Forfait Jours  / Forfait heures </t>
  </si>
  <si>
    <t xml:space="preserve">Nombre d'heures supplémentaires ou Complémentaires </t>
  </si>
  <si>
    <t xml:space="preserve">Forfait jours </t>
  </si>
  <si>
    <t>Retraite Supplémentaire Art 83</t>
  </si>
  <si>
    <t>Retraite Supplémentaire Article 83</t>
  </si>
  <si>
    <t>Total PP Prévoyance complémentaire ( y compris retraite Supplémentaire Art 83)</t>
  </si>
  <si>
    <t xml:space="preserve">Retraite Supplémentaire Art 83 </t>
  </si>
  <si>
    <t>PMSS</t>
  </si>
  <si>
    <t xml:space="preserve">Heures supplémentaires non défiscalisées du mois </t>
  </si>
  <si>
    <t xml:space="preserve">Avantage  en nature TR </t>
  </si>
  <si>
    <t>Heures Suppl défiscalisées</t>
  </si>
  <si>
    <t xml:space="preserve">CSG 6,8 % déductible hors Hsuppl / Compl  défiscalisées </t>
  </si>
  <si>
    <t>Responsable  Paie</t>
  </si>
  <si>
    <t xml:space="preserve">Prime d'ancienneté </t>
  </si>
  <si>
    <t xml:space="preserve">Prime de production </t>
  </si>
  <si>
    <t xml:space="preserve">Décembre </t>
  </si>
  <si>
    <t xml:space="preserve">Saisir les zones en jaune seulement </t>
  </si>
  <si>
    <t xml:space="preserve">Date de début de l'arrêt </t>
  </si>
  <si>
    <t xml:space="preserve">Date de fin de l'arrêt </t>
  </si>
  <si>
    <t xml:space="preserve">Date de début du mois </t>
  </si>
  <si>
    <t xml:space="preserve">Date de fin du mois </t>
  </si>
  <si>
    <t xml:space="preserve">Base de calcul de l'absence </t>
  </si>
  <si>
    <t xml:space="preserve">Nombre de jours calendaires </t>
  </si>
  <si>
    <t xml:space="preserve">Nombre de jours de carence </t>
  </si>
  <si>
    <t xml:space="preserve">Nombre d'IJSS </t>
  </si>
  <si>
    <t xml:space="preserve">Nombre de Samedis </t>
  </si>
  <si>
    <t xml:space="preserve">Nombre de jours ouvrables </t>
  </si>
  <si>
    <t>Nombre de jours ouvrés</t>
  </si>
  <si>
    <t xml:space="preserve">SMICH 202N </t>
  </si>
  <si>
    <t>SMICH 202N-1</t>
  </si>
  <si>
    <t>Col 1</t>
  </si>
  <si>
    <t>Col 2</t>
  </si>
  <si>
    <t>Col 3</t>
  </si>
  <si>
    <t>Col 4</t>
  </si>
  <si>
    <t xml:space="preserve">Col 5 </t>
  </si>
  <si>
    <t>Col 6</t>
  </si>
  <si>
    <t xml:space="preserve">ANNEE </t>
  </si>
  <si>
    <t xml:space="preserve">MOIS </t>
  </si>
  <si>
    <t xml:space="preserve">SALAIRES DE REFERENCE  BRUTS </t>
  </si>
  <si>
    <t xml:space="preserve">CALCUL IJSS MIN( Col 5;Col7) </t>
  </si>
  <si>
    <t>202N-1</t>
  </si>
  <si>
    <t xml:space="preserve">Valeur d'1 IJSS </t>
  </si>
  <si>
    <t>Nombre d'IJSS</t>
  </si>
  <si>
    <t xml:space="preserve">Montant Brut des IJSS </t>
  </si>
  <si>
    <t xml:space="preserve">Montant Net des IJSS </t>
  </si>
  <si>
    <t xml:space="preserve">CSG / CRDS  2,9 % sur les IJSS Non déductible </t>
  </si>
  <si>
    <t xml:space="preserve">La décomposition est utile pour le prélévement à la source </t>
  </si>
  <si>
    <t xml:space="preserve">CSG déductible 3,8 % sur les IJSS </t>
  </si>
  <si>
    <t xml:space="preserve">MATRICE 3 VALORISATION ABSENCES </t>
  </si>
  <si>
    <t xml:space="preserve">Base de calcul absence </t>
  </si>
  <si>
    <t xml:space="preserve">Nombre de Samedis entre 2 dates </t>
  </si>
  <si>
    <t xml:space="preserve">Nombre de jours ouvrés  d'absence </t>
  </si>
  <si>
    <t xml:space="preserve">Nombre de jours ouvrables  d'absence </t>
  </si>
  <si>
    <t xml:space="preserve">Nombre d'heures réelles du mois </t>
  </si>
  <si>
    <t xml:space="preserve">Nombre d'heures réelles d'absence </t>
  </si>
  <si>
    <t xml:space="preserve">Retenue absence heures réelles du mois </t>
  </si>
  <si>
    <t xml:space="preserve">Nombre de jours ouvrés réels du mois </t>
  </si>
  <si>
    <t xml:space="preserve">Retenue absence jours ouvrés réels du mois </t>
  </si>
  <si>
    <t>Retenue absence 1 / 22</t>
  </si>
  <si>
    <t xml:space="preserve">Retenue absence 1/21,67 </t>
  </si>
  <si>
    <t xml:space="preserve">Nombre de jours calendaires réels du mois </t>
  </si>
  <si>
    <t xml:space="preserve">Retenue absence jours calendaires réels  du mois </t>
  </si>
  <si>
    <t xml:space="preserve">Retenue absence 1/ 30 éme </t>
  </si>
  <si>
    <t xml:space="preserve">Nombre de Samedis dans le mois </t>
  </si>
  <si>
    <t xml:space="preserve">Nombre de jours ouvrables  réels du mois </t>
  </si>
  <si>
    <t xml:space="preserve">Retenue absence jours ouvrables réels du mois </t>
  </si>
  <si>
    <t xml:space="preserve">Retenue absence 1/ 26 éme </t>
  </si>
  <si>
    <t>Mardi</t>
  </si>
  <si>
    <t>Mercredi</t>
  </si>
  <si>
    <t>Jeudi</t>
  </si>
  <si>
    <t>Vendredi</t>
  </si>
  <si>
    <t>Samedi</t>
  </si>
  <si>
    <t>Dimanche</t>
  </si>
  <si>
    <t>Lundi</t>
  </si>
  <si>
    <t xml:space="preserve">Maintien de salaire </t>
  </si>
  <si>
    <t xml:space="preserve">IJSS  Nettes </t>
  </si>
  <si>
    <t xml:space="preserve">PARAMETRES </t>
  </si>
  <si>
    <t>SMICH</t>
  </si>
  <si>
    <t xml:space="preserve">Soit un salarié absent du </t>
  </si>
  <si>
    <t>20 au 31/03/202N</t>
  </si>
  <si>
    <t xml:space="preserve">Son salaire de base est de </t>
  </si>
  <si>
    <t xml:space="preserve">Ses salaires  de référence sont </t>
  </si>
  <si>
    <r>
      <t xml:space="preserve">Entreprise de </t>
    </r>
    <r>
      <rPr>
        <b/>
        <sz val="11"/>
        <color theme="1"/>
        <rFont val="Times New Roman"/>
        <family val="1"/>
      </rPr>
      <t>50  salariés</t>
    </r>
    <r>
      <rPr>
        <sz val="11"/>
        <color theme="1"/>
        <rFont val="Times New Roman"/>
        <family val="1"/>
      </rPr>
      <t xml:space="preserve"> </t>
    </r>
  </si>
  <si>
    <t>ANNEE</t>
  </si>
  <si>
    <t xml:space="preserve">SALAIRES BRUTS </t>
  </si>
  <si>
    <t xml:space="preserve">Prime </t>
  </si>
  <si>
    <t>202N</t>
  </si>
  <si>
    <t xml:space="preserve">Les absences sont valorisées suivant la méthode  des heures réelles du mois. Le salarié effectue 7 h par jour 5 jours par semaine </t>
  </si>
  <si>
    <t xml:space="preserve">Jour </t>
  </si>
  <si>
    <t xml:space="preserve">Heures réelles </t>
  </si>
  <si>
    <t xml:space="preserve">Au total il y a dans le mois </t>
  </si>
  <si>
    <t xml:space="preserve">Heures </t>
  </si>
  <si>
    <t xml:space="preserve">Son absence sera donc valorisée à </t>
  </si>
  <si>
    <t xml:space="preserve">Cas 1. L'entreprise pratique la subrogation </t>
  </si>
  <si>
    <t xml:space="preserve">Cas 2. L'entreprise ne pratique pas la subrogation </t>
  </si>
  <si>
    <t xml:space="preserve">IJSS brute de la période de maintien </t>
  </si>
  <si>
    <t xml:space="preserve">En cas de subrogation </t>
  </si>
  <si>
    <t xml:space="preserve">Le haut du bulletin est le même </t>
  </si>
  <si>
    <t xml:space="preserve">En cas de non subrogation </t>
  </si>
  <si>
    <t xml:space="preserve">Proratisation du PMSS </t>
  </si>
  <si>
    <t xml:space="preserve">Le plafond doit être proratisé en tenant compte de la période pendant laquelle le salaire n'est pas maintenu </t>
  </si>
  <si>
    <t xml:space="preserve">Limite application allocations familiales </t>
  </si>
  <si>
    <t xml:space="preserve">Pour le calcul des IJSS  Brutes et Nettes vous trouvrez les montants dans la Feuille  MATRICE 1 aux lignes </t>
  </si>
  <si>
    <t xml:space="preserve">IJSS Brutes </t>
  </si>
  <si>
    <t xml:space="preserve">IJSS Nettes </t>
  </si>
  <si>
    <t xml:space="preserve">Plus </t>
  </si>
  <si>
    <t xml:space="preserve"> - CSG déductible à 3,8 % </t>
  </si>
  <si>
    <t xml:space="preserve">Moins </t>
  </si>
  <si>
    <t>CSG CDS Non déd.</t>
  </si>
  <si>
    <t xml:space="preserve">Base de calcul du prélévement à la source </t>
  </si>
  <si>
    <t xml:space="preserve">Le BP  corrigé tient compte de l'application du  taux neutre </t>
  </si>
  <si>
    <t>Le taux du prélévement à la source va dépendre du taux applicable au salarié.</t>
  </si>
  <si>
    <t xml:space="preserve">Le net payé en euros  tiendra compte du montant du prélévement à la source </t>
  </si>
  <si>
    <t>Cette règle des 2 mois ne préjuge pas du caractère imposable ou non des IJSS versées au-delà. Elle a pour objectif de couvrir globalement, par une règle unique, le cas général (IJSS maladie non professionnelle imposables) et les IJSS versées en cas d’affection de longue durée (ALD), non imposables (CGI art. 80 quinquies), afin de préserver la confidentialité de l’éventuelle ALD du salarié. L’administration tiendra compte du caractère imposable ou non des sommes lors du calcul final de l’impôt sur le revenu, en fonction des informations à sa disposition.</t>
  </si>
  <si>
    <t xml:space="preserve">Hypothèse 2 </t>
  </si>
  <si>
    <r>
      <t>CF</t>
    </r>
    <r>
      <rPr>
        <b/>
        <sz val="11"/>
        <color theme="1"/>
        <rFont val="Times New Roman"/>
        <family val="1"/>
      </rPr>
      <t xml:space="preserve"> BP 2 202N SUBROG</t>
    </r>
    <r>
      <rPr>
        <sz val="11"/>
        <color theme="1"/>
        <rFont val="Times New Roman"/>
        <family val="1"/>
      </rPr>
      <t xml:space="preserve">  et </t>
    </r>
    <r>
      <rPr>
        <b/>
        <sz val="11"/>
        <color theme="1"/>
        <rFont val="Times New Roman"/>
        <family val="1"/>
      </rPr>
      <t xml:space="preserve">BP 2  202N  NON SUBROG </t>
    </r>
  </si>
  <si>
    <t xml:space="preserve">La convention collective précise qu'il y a maintien de salaire à 100 % à compter du 2 éme jour d'absence </t>
  </si>
  <si>
    <t>BP 2 202N SUBROG</t>
  </si>
  <si>
    <t xml:space="preserve">BP 2  202N  NON SUBROG </t>
  </si>
  <si>
    <t>Soit un maintien de salaire du  21 au 31</t>
  </si>
  <si>
    <t>100 % du salaire brut</t>
  </si>
  <si>
    <t xml:space="preserve">100 % * 2500 * 11 /30 = </t>
  </si>
  <si>
    <t>9 * 43,71=</t>
  </si>
  <si>
    <t xml:space="preserve">En cas de subrogation OU de non subrogation </t>
  </si>
  <si>
    <t xml:space="preserve">Le haut du bulletin est identique </t>
  </si>
  <si>
    <t xml:space="preserve">totalement ou partiellement soit le 20 : 1 jour calendaire </t>
  </si>
  <si>
    <t xml:space="preserve">PMSS  * (31-1) / 31 = </t>
  </si>
  <si>
    <t>151,67 * 2070,90 / 2500</t>
  </si>
  <si>
    <t xml:space="preserve">Limite application Réduction générale de cotisations </t>
  </si>
  <si>
    <t xml:space="preserve">1,6 * SMICH * 125,64  = </t>
  </si>
  <si>
    <t xml:space="preserve">Le salaire brut étant supérieur pas de Réduction générale de cotisations </t>
  </si>
  <si>
    <t>3,5 *SMICH  * 125,64 =</t>
  </si>
  <si>
    <t xml:space="preserve">Concernant l'incidence sur le Bulletin de Paie 2020   : au niveau de la base de calcul du Prélévement à la source </t>
  </si>
  <si>
    <t xml:space="preserve">Pendant les 60 premiers jours calendaires qui suivent l'arrêt de travail les IJSS versées dans le cadre de la subrogation devront être déclarées par l'employeur de la façon suivante : </t>
  </si>
  <si>
    <t>Le taux du prélévement à la source  va dépendre du taux applicable au salarié.</t>
  </si>
  <si>
    <t>Hypothèse 3</t>
  </si>
  <si>
    <r>
      <t xml:space="preserve">CF BP 3 202N  SUBROG </t>
    </r>
    <r>
      <rPr>
        <sz val="11"/>
        <color theme="1"/>
        <rFont val="Times New Roman"/>
        <family val="1"/>
      </rPr>
      <t>et</t>
    </r>
    <r>
      <rPr>
        <b/>
        <sz val="11"/>
        <color theme="1"/>
        <rFont val="Times New Roman"/>
        <family val="1"/>
      </rPr>
      <t xml:space="preserve"> BP 3 202N  NON SUBROG </t>
    </r>
  </si>
  <si>
    <t xml:space="preserve">La convention collective précise qu'il y a </t>
  </si>
  <si>
    <t xml:space="preserve">Maintien de salaire brut (sous entendu sous déduction des IJSS correspondantes) </t>
  </si>
  <si>
    <t>BP 3 202N  SUBROG</t>
  </si>
  <si>
    <t>BP 3 202N  NON SUBROG</t>
  </si>
  <si>
    <t>Soit un maintien de salaire du  20 au 31</t>
  </si>
  <si>
    <t xml:space="preserve">100 % * 2500 * 56 /147   = </t>
  </si>
  <si>
    <t>9 * 43,71 =</t>
  </si>
  <si>
    <t xml:space="preserve">Pendant les 3 premiers jours il y a carence donc 9 IJSS </t>
  </si>
  <si>
    <t xml:space="preserve">Le plafond  ne doit  pas être proratisé </t>
  </si>
  <si>
    <t>151,67 * 2106,61 / 2500</t>
  </si>
  <si>
    <t xml:space="preserve">Limite application réduction générale de cotisations </t>
  </si>
  <si>
    <t xml:space="preserve">1,6 *SMICH * 127,8  = </t>
  </si>
  <si>
    <t xml:space="preserve">Le salaire brut étant SUPERIEUR   pas de réduction générale de cotisations </t>
  </si>
  <si>
    <t>3,5 *SMICH* 127,80 =</t>
  </si>
  <si>
    <t xml:space="preserve">Concernant l'incidence sur le Bulletin de Paie 202N  au niveau de la base de calcul du Prélévement à la source </t>
  </si>
  <si>
    <t>Le taux du prélévement à la source  a dépendre du taux applicable au salarié.</t>
  </si>
  <si>
    <t xml:space="preserve">Hypothèse 4 : le Maintien du Net </t>
  </si>
  <si>
    <t xml:space="preserve">Pour traiter le maintien du net il faut  : </t>
  </si>
  <si>
    <t xml:space="preserve">1. Calculer le Net habituel </t>
  </si>
  <si>
    <r>
      <t>CF</t>
    </r>
    <r>
      <rPr>
        <b/>
        <i/>
        <sz val="11"/>
        <color theme="1"/>
        <rFont val="Times New Roman"/>
        <family val="1"/>
      </rPr>
      <t xml:space="preserve"> BP 4 202N NET HABITUEL </t>
    </r>
  </si>
  <si>
    <t xml:space="preserve">Sur la base de 2500 euros </t>
  </si>
  <si>
    <t xml:space="preserve">2. Utiliser la fonction Cible </t>
  </si>
  <si>
    <r>
      <t xml:space="preserve">On établit le haut du bulletin de paie (CF </t>
    </r>
    <r>
      <rPr>
        <i/>
        <sz val="11"/>
        <color theme="1"/>
        <rFont val="Times New Roman"/>
        <family val="1"/>
      </rPr>
      <t>Feuille</t>
    </r>
    <r>
      <rPr>
        <b/>
        <i/>
        <sz val="11"/>
        <color theme="1"/>
        <rFont val="Times New Roman"/>
        <family val="1"/>
      </rPr>
      <t xml:space="preserve"> BP 4 MAINTIEN DU NET</t>
    </r>
    <r>
      <rPr>
        <sz val="11"/>
        <color theme="1"/>
        <rFont val="Times New Roman"/>
        <family val="1"/>
      </rPr>
      <t xml:space="preserve"> )</t>
    </r>
  </si>
  <si>
    <t xml:space="preserve">Puis On se place sur la cellule du Net à payer </t>
  </si>
  <si>
    <t xml:space="preserve">On suit les menus suivants </t>
  </si>
  <si>
    <t xml:space="preserve">Données </t>
  </si>
  <si>
    <t xml:space="preserve">Analyse de scénario </t>
  </si>
  <si>
    <t xml:space="preserve">Valeur cible </t>
  </si>
  <si>
    <t xml:space="preserve">On saisit dans le rectangle proposé </t>
  </si>
  <si>
    <t xml:space="preserve">La valeur  à atteindre ( le Net habituel) </t>
  </si>
  <si>
    <t xml:space="preserve">La cellule à modifier </t>
  </si>
  <si>
    <t xml:space="preserve">On va dans le haut du BP à la cellule </t>
  </si>
  <si>
    <t>correspondant à  la Garantie du Net</t>
  </si>
  <si>
    <t xml:space="preserve">On tape OK </t>
  </si>
  <si>
    <t xml:space="preserve">151,67 * 2022,53 / 2500  = </t>
  </si>
  <si>
    <t xml:space="preserve">Hypothése 5. </t>
  </si>
  <si>
    <t>ii. Indemnisation</t>
  </si>
  <si>
    <t>Après 1 an d'ancienneté dans le cabinet, les salaires sont maintenus aux employés et cadres absents pour maladie, accident du travail ou accident non</t>
  </si>
  <si>
    <t>professionnel dans les conditions suivantes :</t>
  </si>
  <si>
    <t>*  le droit à indemnisation est subordonné au bénéfice des indemnités journalières du régime général de la sécurité sociale ;</t>
  </si>
  <si>
    <t>* la durée totale des arrêts de travail, y compris les délais de carence, donnant droit aux indemnités, ne peut excéder 30 jours calendaires par maladie ou accident</t>
  </si>
  <si>
    <t>du travail. Si plusieurs congés de maladie ou d'accident du travail donnant lieu à indemnisation interviennent au cours d'une même année civile, la durée totale</t>
  </si>
  <si>
    <t>d'indemnisation ne peut excéder 30 jours calendaires.</t>
  </si>
  <si>
    <t>L'indemnité nette est calculée pour compléter, à compter du 4ème jour calendaire d'absence, les indemnités journalières de la sécurité sociale jusqu'à concurrence</t>
  </si>
  <si>
    <t>du salaire net qu'aurait perçu l'intéressé s'il avait travaillé pendant la même période.</t>
  </si>
  <si>
    <t xml:space="preserve">Pour résoudre cette question il nous faut déterminer  le salaire net qu'aurait perçu le salarié à compter du 4 éme jour calendaire </t>
  </si>
  <si>
    <t>Salaire de base</t>
  </si>
  <si>
    <t>Pour valoriser l'absence entre le 20 et le 31 l'entreprise a utilisé la méthode dite des heurs réelles du mois et des heures réelles d'absence</t>
  </si>
  <si>
    <t xml:space="preserve">Cette absence a été valorisée ( cf ci-dessus) à </t>
  </si>
  <si>
    <t xml:space="preserve">Le salaire net que le salarié aurait perçu s'il n'avait pas été absent du 4 éme jour calendaire  à la fin de l'arrêt de travail est de </t>
  </si>
  <si>
    <t>Absence du 20 au 31</t>
  </si>
  <si>
    <t xml:space="preserve">On suppose que le salarié a travaillé  à compter du 4 éme jour calendaire </t>
  </si>
  <si>
    <t xml:space="preserve">Cela donne un salaire  net de </t>
  </si>
  <si>
    <t xml:space="preserve">CF FEUILLE SIMUL 1 HYP 5 </t>
  </si>
  <si>
    <t xml:space="preserve">Reconstituons maintenant le haut du bulletin en tenant compte des IJSS </t>
  </si>
  <si>
    <t xml:space="preserve">Absence du … au … </t>
  </si>
  <si>
    <t>2500 * 35 /147</t>
  </si>
  <si>
    <t xml:space="preserve">sous déduction des IJSS correspondantes </t>
  </si>
  <si>
    <t>9 * 43,71</t>
  </si>
  <si>
    <t xml:space="preserve">Garantie du net </t>
  </si>
  <si>
    <t xml:space="preserve">Brut soumis à cotisations </t>
  </si>
  <si>
    <t xml:space="preserve">Avec ce brut on trouve un Net à payer de  </t>
  </si>
  <si>
    <t xml:space="preserve">cf FEUILLE SIMUL 2 HYP 5 </t>
  </si>
  <si>
    <t xml:space="preserve">Or nous voulons arriver à un Net à payer de </t>
  </si>
  <si>
    <t xml:space="preserve">Pour cela il faut trouver le montant de la garantie du net qui modifiera le haut du bulletin et permettra d'arriver à un net à payer de </t>
  </si>
  <si>
    <t xml:space="preserve">Pour trouver le montant de la garantie du net nous allons utiliser la fonction Valeur Cible d'EXCEL </t>
  </si>
  <si>
    <t>Analyse de scénario</t>
  </si>
  <si>
    <t xml:space="preserve">Cellule à Définier </t>
  </si>
  <si>
    <t>I67</t>
  </si>
  <si>
    <t xml:space="preserve">Net à payer </t>
  </si>
  <si>
    <t xml:space="preserve">Valeur à atteindre </t>
  </si>
  <si>
    <t xml:space="preserve">Cellule à modifier </t>
  </si>
  <si>
    <t xml:space="preserve">I24 </t>
  </si>
  <si>
    <t>Cf la FEUILLE BP HYP 5</t>
  </si>
  <si>
    <t xml:space="preserve">Les heures URSSAF sont calculées directement sur le BP </t>
  </si>
  <si>
    <t xml:space="preserve">ENONCE EXERCICE 1 :  MALADIE </t>
  </si>
  <si>
    <r>
      <t xml:space="preserve">Soit un salarié </t>
    </r>
    <r>
      <rPr>
        <b/>
        <sz val="11"/>
        <color theme="1"/>
        <rFont val="Times New Roman"/>
        <family val="1"/>
      </rPr>
      <t xml:space="preserve"> Cadre </t>
    </r>
    <r>
      <rPr>
        <sz val="11"/>
        <color theme="1"/>
        <rFont val="Times New Roman"/>
        <family val="1"/>
      </rPr>
      <t xml:space="preserve">absent du </t>
    </r>
  </si>
  <si>
    <r>
      <t xml:space="preserve">Il travaille dans une entreprise de </t>
    </r>
    <r>
      <rPr>
        <b/>
        <sz val="11"/>
        <color theme="1"/>
        <rFont val="Times New Roman"/>
        <family val="1"/>
      </rPr>
      <t xml:space="preserve"> 50  salariés </t>
    </r>
  </si>
  <si>
    <t>Vous pouvez consulter la valeur des IJSS brutes et nettes dans la feuille MATRICE IJSS ABSENCE</t>
  </si>
  <si>
    <t xml:space="preserve">      BULLETIN  DE  SALAIRE</t>
  </si>
  <si>
    <t xml:space="preserve">On supposera que les salaires de Décembre, Janvier et de Février correspondent  à 151,67 </t>
  </si>
  <si>
    <t xml:space="preserve">L'entreprise a souscrit à un contrat </t>
  </si>
  <si>
    <t xml:space="preserve">Frais de santé (mutuelle) </t>
  </si>
  <si>
    <t xml:space="preserve"> de Prévoyance Complémentaire </t>
  </si>
  <si>
    <t>Taux AT</t>
  </si>
  <si>
    <t xml:space="preserve">Versement mobilité </t>
  </si>
  <si>
    <t xml:space="preserve">Tickets Restaurant </t>
  </si>
  <si>
    <t xml:space="preserve">Remboursement à 50 % de la carte Navigo </t>
  </si>
  <si>
    <t xml:space="preserve">Vous disposez </t>
  </si>
  <si>
    <t xml:space="preserve">d'une Feuille "Matrice IJSS Absence" que vous compléterez en renseignant les SEULES cellules en Jaune </t>
  </si>
  <si>
    <t xml:space="preserve">d'une Feuille "Masque de Saisie" que vous compléterez en renseignant les  SEULES cellules en Jaune </t>
  </si>
  <si>
    <t xml:space="preserve">d'une Feuille BP Version Janvier 2023 sur laquelle vous serez amené(e) à travailler </t>
  </si>
  <si>
    <t>d'une Feuille BP Format Juillet 2023  sur laquelle vous serez amené (e) à travailler</t>
  </si>
  <si>
    <t xml:space="preserve">Les autres feuilles sont des feuilles de travail que vous n'aurez pas à modifier </t>
  </si>
  <si>
    <t>Vous commencerez par créer un Dossier Maladie puis un sous dossier Applications  dans lequel vous rangerez les différents fichiers que vous serez amené(e) à créer.</t>
  </si>
  <si>
    <t>La feuille Masque de saisie comporte un certain nombre de renseignements pré-enregistrés que vous n'aurez pas à modifier</t>
  </si>
  <si>
    <t xml:space="preserve">Pour chaque hypothèse et dans chaque cas (subrogation ou non subrogation) vous créerez un fichier que vous placerez dans votre sous-dossier Applications. </t>
  </si>
  <si>
    <t xml:space="preserve">Cas 1. L'entreprise ne pratique pas la subrogation </t>
  </si>
  <si>
    <t xml:space="preserve">Cas 2. L'entreprise  pratique  la subrogation </t>
  </si>
  <si>
    <t xml:space="preserve">en cas d'absence pour maladie </t>
  </si>
  <si>
    <t xml:space="preserve">Hypothèse 4 </t>
  </si>
  <si>
    <t xml:space="preserve">le Maintien du Net en cas d'absence pour maladie </t>
  </si>
  <si>
    <t>Après 1 an d'ancienneté, les salaires sont maintenus aux employés et cadres absents pour maladie, accident du travail ou accident non</t>
  </si>
  <si>
    <t xml:space="preserve">Cellule J33 (Salaire brut) </t>
  </si>
  <si>
    <t xml:space="preserve">Cellule F73 (TOTAL DES COTISATIONS SALARIALES) </t>
  </si>
  <si>
    <t>Cellule F77 (IJSS NETTES)</t>
  </si>
  <si>
    <t>Cellule G38 (Mutuelle)</t>
  </si>
  <si>
    <t>Cellule G39 (Mutuelle )</t>
  </si>
  <si>
    <t xml:space="preserve">Cellule F67 (CSG CRDS Non déductible) </t>
  </si>
  <si>
    <t xml:space="preserve">Base de Calcul du PAS </t>
  </si>
  <si>
    <t xml:space="preserve">Base de calcul du Forfait social </t>
  </si>
  <si>
    <t>Cellule G39 (Mutuelle)</t>
  </si>
  <si>
    <t>Cellule G42 ( Prévoyance Complémentaire T1+T2)</t>
  </si>
  <si>
    <t xml:space="preserve">Base CSG  / CRDS </t>
  </si>
  <si>
    <t xml:space="preserve">0,9825 * Salaire brut  </t>
  </si>
  <si>
    <t xml:space="preserve"> + Prévoyance frais de santé </t>
  </si>
  <si>
    <t>BP  Version Janvier 2023</t>
  </si>
  <si>
    <t>BP Format Juillet 2023</t>
  </si>
  <si>
    <t>Différence</t>
  </si>
  <si>
    <t xml:space="preserve">Cotisations salariales </t>
  </si>
  <si>
    <t xml:space="preserve">Cotisations patronales </t>
  </si>
  <si>
    <t xml:space="preserve">Exonérations de cotisations </t>
  </si>
  <si>
    <t xml:space="preserve">Allégements de cotisations </t>
  </si>
  <si>
    <t>Tickets Restaurant  PS</t>
  </si>
  <si>
    <t xml:space="preserve">AVANTAGE EN NATURE </t>
  </si>
  <si>
    <t xml:space="preserve">IJSS brutes </t>
  </si>
  <si>
    <t xml:space="preserve">- CSG 3,8 % déductible </t>
  </si>
  <si>
    <t xml:space="preserve">Une feuille CONTRÔLE permet de reconstituer les éléments suivants directement à partir du corps du BP Version Janvier 2023 et de contrôler la cohérence avec les résultats </t>
  </si>
  <si>
    <t>obtenus par les 2 maquettes  BP Version Janvier 2023 et BP Format Juillet 2023</t>
  </si>
  <si>
    <t xml:space="preserve">Une fois vos bulletins de paie établis : Les Zones en Jaune doivent être renseignées par vos soins </t>
  </si>
  <si>
    <t xml:space="preserve">Rubriques des BP que l'on veut contrôler </t>
  </si>
  <si>
    <t xml:space="preserve">Base Forfait social </t>
  </si>
  <si>
    <t xml:space="preserve">Base CSG CRDS </t>
  </si>
  <si>
    <t xml:space="preserve">Dans ce dernier tableau le montant des cellules en Jaune doivent être "récupérées" dans les BP , le montant des autres cellules est </t>
  </si>
  <si>
    <t xml:space="preserve">automatiquement récupéré à partir des reports précédement effectués </t>
  </si>
  <si>
    <t xml:space="preserve">Reconstitution du Net à payer , du Net imposable etc à </t>
  </si>
  <si>
    <t>partir du BP de Jznvier 2023</t>
  </si>
  <si>
    <t xml:space="preserve">Report depuis les 2 BP </t>
  </si>
  <si>
    <t xml:space="preserve"> + Prévoyance  hors frais de santé </t>
  </si>
  <si>
    <r>
      <rPr>
        <b/>
        <sz val="11"/>
        <color theme="1"/>
        <rFont val="Times New Roman"/>
        <family val="1"/>
      </rPr>
      <t xml:space="preserve">Objectifs </t>
    </r>
    <r>
      <rPr>
        <sz val="11"/>
        <color theme="1"/>
        <rFont val="Times New Roman"/>
        <family val="1"/>
      </rPr>
      <t xml:space="preserve">: Etablir un bulletin de paie en cas de subrogation et de non subrogation - Calculer  des IJSS - Valorisation des absences  - Appliquer le code du travail  - </t>
    </r>
  </si>
  <si>
    <t xml:space="preserve"> Appliquer une convention  -Appliquer le maintien du brut   et le Maintien du net -  Utiliser la Valeur cible sur Excel</t>
  </si>
  <si>
    <t xml:space="preserve">d'une Feuille "Feuille de Contrôle" que vous compléterez une fois vos bulletins de paie établis </t>
  </si>
  <si>
    <t xml:space="preserve">Les messages d'erreur que vous avez  avant de commencer à travailler dans les différentes feuilles ne doivent pas vous alarmer. Ils proviennent de renseignnements non saisis dans </t>
  </si>
  <si>
    <t>le Masque de saisie ou dans la feuille MATRICE IJSS Absence . Il vous faut IMPERATIVEMENT passer par le masque de saisie pour établir vos bulletins de paie.</t>
  </si>
  <si>
    <t>Tx applicable  Paris et Petite couronne à pa</t>
  </si>
  <si>
    <t>A compter du 01/02/2024</t>
  </si>
  <si>
    <t xml:space="preserve">2,01 % / 1,6 % </t>
  </si>
  <si>
    <t xml:space="preserve">Le salarié s'est absenté du 20 au 31 soit </t>
  </si>
  <si>
    <t xml:space="preserve">Ce sont les IJSS Brutes correspondant à la période maintien de salaire </t>
  </si>
  <si>
    <t xml:space="preserve">Il n'est pas obligatoire ( mais c'est possible) de faire </t>
  </si>
  <si>
    <t xml:space="preserve">apparaître le IJSS brutes déduites sur le BP </t>
  </si>
  <si>
    <t xml:space="preserve">Ne comprend pas les IJSS Nettes </t>
  </si>
  <si>
    <t xml:space="preserve">cela concerne donc 57 IJSS versées compte tenu du délai de carence de 3 jours </t>
  </si>
  <si>
    <t>Absence Maladie du 20/03 au 31/03</t>
  </si>
  <si>
    <t>bas du BP et bien sûr  ne font pas partie de la base  du PAS</t>
  </si>
  <si>
    <t xml:space="preserve">Le salaire brut étant inférieur à cette limite, l'entreprise bénéficie de la réduction générale de cotisations </t>
  </si>
  <si>
    <t>Ligne 31</t>
  </si>
  <si>
    <t xml:space="preserve">Si l'entreprise ne pratique pas la subrogation les IJSS Nettes n'apparaissent pas sur le Bulletin de paie et la base de calcul </t>
  </si>
  <si>
    <t xml:space="preserve">du PAS est égale au Net Imposable </t>
  </si>
  <si>
    <t xml:space="preserve">Reconstitution </t>
  </si>
  <si>
    <t>BP 1</t>
  </si>
  <si>
    <t xml:space="preserve">BP 2 </t>
  </si>
  <si>
    <t xml:space="preserve">Salaire brut </t>
  </si>
  <si>
    <t xml:space="preserve">Charges salariales </t>
  </si>
  <si>
    <t xml:space="preserve">PS TR </t>
  </si>
  <si>
    <t xml:space="preserve">Rmbst Carte Navigo </t>
  </si>
  <si>
    <t xml:space="preserve">CSG CRDS 2,9 % </t>
  </si>
  <si>
    <t xml:space="preserve">Ligne 67 du BP </t>
  </si>
  <si>
    <t xml:space="preserve">PP Mutuelle </t>
  </si>
  <si>
    <t>Base de calcul du PAS</t>
  </si>
  <si>
    <t xml:space="preserve">CSG CRDS 2,9% Non déductible </t>
  </si>
  <si>
    <t>BP1</t>
  </si>
  <si>
    <t>BP2</t>
  </si>
  <si>
    <t xml:space="preserve">PP Prévoyance complémentaire </t>
  </si>
  <si>
    <t xml:space="preserve">Base  Forfait social </t>
  </si>
  <si>
    <t xml:space="preserve">Réduction Gen de Cot </t>
  </si>
  <si>
    <t xml:space="preserve">SMIC Mensuel  </t>
  </si>
  <si>
    <r>
      <t xml:space="preserve">Taux </t>
    </r>
    <r>
      <rPr>
        <b/>
        <sz val="11"/>
        <color theme="1"/>
        <rFont val="Times New Roman"/>
        <family val="1"/>
      </rPr>
      <t>2025</t>
    </r>
    <r>
      <rPr>
        <sz val="11"/>
        <color theme="1"/>
        <rFont val="Times New Roman"/>
        <family val="1"/>
      </rPr>
      <t xml:space="preserve">  du Versement Mobilité en RP </t>
    </r>
  </si>
  <si>
    <t>Taux du Versement Mobilité aiu 01/01/2024</t>
  </si>
  <si>
    <t xml:space="preserve">Des généralités utiles sur l'arrêt maladie  </t>
  </si>
  <si>
    <t>https://culture-rh.com/ijss-maladie/</t>
  </si>
  <si>
    <t>Mois N-1</t>
  </si>
  <si>
    <t xml:space="preserve">En cas de  non subrogation les IJSS Nettes n'apparaissent jamais sur le </t>
  </si>
  <si>
    <t>Ligne 30</t>
  </si>
  <si>
    <t>Grille du taux neutre 2025</t>
  </si>
  <si>
    <r>
      <t xml:space="preserve">Concernant l'incidence sur le Bulletin de Paie </t>
    </r>
    <r>
      <rPr>
        <b/>
        <sz val="11"/>
        <color theme="1"/>
        <rFont val="Times New Roman"/>
        <family val="1"/>
      </rPr>
      <t>en cas de subrogation</t>
    </r>
    <r>
      <rPr>
        <sz val="11"/>
        <color theme="1"/>
        <rFont val="Times New Roman"/>
        <family val="1"/>
      </rPr>
      <t xml:space="preserve">  au niveau de la base de calcul du Prélévement à la source </t>
    </r>
  </si>
  <si>
    <t xml:space="preserve">soit pendant 8 jours ouvrés et donc 56 heures </t>
  </si>
  <si>
    <t xml:space="preserve">PMSS  </t>
  </si>
  <si>
    <t xml:space="preserve">Pas de proratisation du plafond puisque le salaire est maintenu à 100% </t>
  </si>
  <si>
    <t xml:space="preserve">151,67* Salaire brut du mois / Salaire brut habituel </t>
  </si>
  <si>
    <t xml:space="preserve">Déduction forfaitaire sur heures supplémentaires </t>
  </si>
  <si>
    <t xml:space="preserve">Ce montant étant ensuite reporté avec la RGCP sur les bulletins de paie dans la cellule G71 </t>
  </si>
  <si>
    <t>Montant recalculé pour permettre de tenir compte de la modification intervenue le 01/05.2025 sur la</t>
  </si>
  <si>
    <t xml:space="preserve">déduction forfaitaire applicable aux heures supplémentaires </t>
  </si>
  <si>
    <t>CUFPA  (Contribution Unique à la Formation Professionnelle et à l'Apprentissage)</t>
  </si>
  <si>
    <t xml:space="preserve">CUFPA </t>
  </si>
  <si>
    <t xml:space="preserve">Sécurité sociale Maladie Maternité Invalidité Décés </t>
  </si>
  <si>
    <t xml:space="preserve">Allocations Familiales </t>
  </si>
  <si>
    <t>Plafond de la sécurité sociale 2026</t>
  </si>
  <si>
    <t>SMICH 31/12/2025</t>
  </si>
  <si>
    <t>SMICH au 01/01/2026</t>
  </si>
  <si>
    <t xml:space="preserve">alternatives </t>
  </si>
  <si>
    <t>SMIC Mensuel  au 01/01/2026</t>
  </si>
  <si>
    <t>3*SMICH*35*52/12 au 01/01/2026</t>
  </si>
  <si>
    <t>Coefficients Red Gen Dégressive Unique applicable au   01/01/2026 (Entreprises de moins de 50 sal / Entreprises de 50 ou + de 50 sal.)</t>
  </si>
  <si>
    <t xml:space="preserve">Les cellules en jaune peuvent être modifiées (variables) </t>
  </si>
  <si>
    <t xml:space="preserve">Paramètres 2026  et Variables </t>
  </si>
  <si>
    <t xml:space="preserve">Coefficients 2026 </t>
  </si>
  <si>
    <t xml:space="preserve">Entreprises de moins de 50 salariés </t>
  </si>
  <si>
    <t xml:space="preserve">Entreprises d'au moins 50 salariés </t>
  </si>
  <si>
    <t xml:space="preserve">Rémunération brute du mois </t>
  </si>
  <si>
    <t>Tmin</t>
  </si>
  <si>
    <t xml:space="preserve">Tdelta </t>
  </si>
  <si>
    <t>Ce montant est calculé automatiquement suivant les effectifs saisis en E21</t>
  </si>
  <si>
    <t xml:space="preserve">3 *SMICH * Heures URSSAF </t>
  </si>
  <si>
    <t xml:space="preserve">Rémunération brute </t>
  </si>
  <si>
    <t>E =C/D</t>
  </si>
  <si>
    <t>E-1</t>
  </si>
  <si>
    <t>G =F/2</t>
  </si>
  <si>
    <t>J = I + A</t>
  </si>
  <si>
    <t xml:space="preserve">Coefficient </t>
  </si>
  <si>
    <t>K</t>
  </si>
  <si>
    <t>Réduction</t>
  </si>
  <si>
    <t xml:space="preserve">Le montant de la réduction est arrondi avec 2 chiffres après la virgule </t>
  </si>
  <si>
    <t xml:space="preserve">Sécurité Sociale Maladie Maternité Invalidité Décés </t>
  </si>
  <si>
    <t xml:space="preserve">Allocations familiales </t>
  </si>
  <si>
    <t>SMICH 2026</t>
  </si>
  <si>
    <t>SMICH Déc. 2025</t>
  </si>
  <si>
    <t>Correction Exercice 1 Hypothèse 3.1.</t>
  </si>
  <si>
    <t>N=2006</t>
  </si>
  <si>
    <t xml:space="preserve">Absence du 20 au 31 </t>
  </si>
  <si>
    <t xml:space="preserve">Période de maintien du salaire </t>
  </si>
  <si>
    <t>Nombre d'IJSS versées : 9)</t>
  </si>
  <si>
    <t>Nombre d'IJSS versées durant la période maintien de salaire : 9  (jours calendaires)</t>
  </si>
  <si>
    <t xml:space="preserve">Maintien du brut </t>
  </si>
  <si>
    <t>98+56</t>
  </si>
  <si>
    <t>2500 *56 / 154</t>
  </si>
  <si>
    <t xml:space="preserve">100 % * 2500 * 56  / 154 = </t>
  </si>
  <si>
    <t xml:space="preserve">Sur la nouvelle législation s'appliquant à compter du 01/04/2025 : </t>
  </si>
  <si>
    <t>https://www.village-justice.com/articles/ijss-maladie-diminution-compter-1er-avril-2025,52514.html</t>
  </si>
  <si>
    <t xml:space="preserve">Application Limite 1,4 SMIC à compter du </t>
  </si>
  <si>
    <r>
      <t xml:space="preserve">Montant maximum de l'IJSS Maladie non professionnelle  en </t>
    </r>
    <r>
      <rPr>
        <b/>
        <sz val="11"/>
        <color theme="1"/>
        <rFont val="Calibri"/>
        <family val="2"/>
        <scheme val="minor"/>
      </rPr>
      <t>2026</t>
    </r>
  </si>
  <si>
    <t>SMICH s'appliquant au 01/01/2026</t>
  </si>
  <si>
    <t>SMICH s'appliquant au 31/12/2025</t>
  </si>
  <si>
    <t>MATRICE DE  CALCUL    IJSS MALADIE   202N</t>
  </si>
  <si>
    <t>Limite de  1,4 SMIC depuis le 01/04/2025</t>
  </si>
  <si>
    <t>N</t>
  </si>
  <si>
    <t>Mois N-2</t>
  </si>
  <si>
    <t>Janvier</t>
  </si>
  <si>
    <t>N-1</t>
  </si>
  <si>
    <t>Mois  N-3</t>
  </si>
  <si>
    <t xml:space="preserve">9 * 41,67 ( CF feuille Matrice ijss absence) </t>
  </si>
  <si>
    <t>NB. Si l'entreprise avait utilisé une autre méthode de valorisation des heures d'absence cela aurait donné par exemple en jours ouvrés forfaitaires ( méthode dite du 1/21,67 éme)</t>
  </si>
  <si>
    <t xml:space="preserve">100 % * 2500 * 8  /21,67  = </t>
  </si>
  <si>
    <t>9* 41,67=</t>
  </si>
  <si>
    <t>SMICH applicable : SMICH 2026</t>
  </si>
  <si>
    <t xml:space="preserve">3 * SMICH *Heures URSSAF </t>
  </si>
  <si>
    <t xml:space="preserve">Limite application Réduction Générale Dégressive Unique </t>
  </si>
  <si>
    <t>Cf calendrier  : 14</t>
  </si>
  <si>
    <t xml:space="preserve">14 jours effectivement travaillés dans le mois </t>
  </si>
  <si>
    <t xml:space="preserve">DFHS entreprises d'au moins  20  salariés </t>
  </si>
  <si>
    <t>Abattement CDD Court 2026</t>
  </si>
  <si>
    <t xml:space="preserve"> Subrogation</t>
  </si>
  <si>
    <t xml:space="preserve"> Subrogation </t>
  </si>
  <si>
    <t xml:space="preserve">​ </t>
  </si>
  <si>
    <t>G Puissance 1,75</t>
  </si>
  <si>
    <t>H*B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</si>
</sst>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43" formatCode="_-* #,##0.00_-;\-* #,##0.00_-;_-* &quot;-&quot;??_-;_-@_-"/>
    <numFmt numFmtId="164" formatCode="_-* #,##0.00\ _€_-;\-* #,##0.00\ _€_-;_-* &quot;-&quot;??\ _€_-;_-@_-"/>
    <numFmt numFmtId="165" formatCode="0.0000"/>
    <numFmt numFmtId="166" formatCode="0.000%"/>
    <numFmt numFmtId="167" formatCode="0.0%"/>
    <numFmt numFmtId="168" formatCode="0.00000"/>
    <numFmt numFmtId="169" formatCode="0.000"/>
    <numFmt numFmtId="170" formatCode="_(* #,##0.00_);_(* \(#,##0.00\);_(* &quot;-&quot;??_);_(@_)"/>
    <numFmt numFmtId="171" formatCode="_-* #,##0.0000_-;\-* #,##0.0000_-;_-* &quot;-&quot;??_-;_-@_-"/>
    <numFmt numFmtId="172" formatCode="_-* #,##0.00000\ _€_-;\-* #,##0.00000\ _€_-;_-* &quot;-&quot;??\ _€_-;_-@_-"/>
    <numFmt numFmtId="173" formatCode="_-* #,##0.0000\ _€_-;\-* #,##0.0000\ _€_-;_-* &quot;-&quot;??\ _€_-;_-@_-"/>
    <numFmt numFmtId="174" formatCode="\ #,##0.00&quot;    &quot;;\-#,##0.00&quot;    &quot;;&quot; -&quot;#&quot;    &quot;;@\ "/>
    <numFmt numFmtId="175" formatCode="\ #,##0.00&quot;    &quot;;\-#,##0.00&quot;    &quot;;&quot; -&quot;#&quot;    &quot;;\ @\ "/>
    <numFmt numFmtId="176" formatCode="#,##0.000"/>
    <numFmt numFmtId="177" formatCode="#,##0.00_ ;\-#,##0.00\ "/>
    <numFmt numFmtId="178" formatCode="_-* #,##0.00000000\ _€_-;\-* #,##0.00000000\ _€_-;_-* &quot;-&quot;????????\ _€_-;_-@_-"/>
    <numFmt numFmtId="179" formatCode="_-* #,##0.00000000\ _€_-;\-* #,##0.00000000\ _€_-;_-* &quot;-&quot;??\ _€_-;_-@_-"/>
    <numFmt numFmtId="180" formatCode="_-* #,##0.0000\ _€_-;\-* #,##0.0000\ _€_-;_-* &quot;-&quot;????\ _€_-;_-@_-"/>
    <numFmt numFmtId="181" formatCode="#,##0.0000"/>
    <numFmt numFmtId="182" formatCode="0.0000%"/>
    <numFmt numFmtId="183" formatCode="\ #,##0&quot;    &quot;;\-#,##0&quot;    &quot;;&quot; -&quot;#&quot;    &quot;;@\ "/>
    <numFmt numFmtId="184" formatCode="_-* #,##0.00000_-;\-* #,##0.00000_-;_-* &quot;-&quot;??_-;_-@_-"/>
  </numFmts>
  <fonts count="96" x14ac:knownFonts="1">
    <font>
      <sz val="11"/>
      <color theme="1"/>
      <name val="Calibri"/>
      <family val="2"/>
      <scheme val="minor"/>
    </font>
    <font>
      <sz val="10"/>
      <name val="MS Sans Serif"/>
      <family val="2"/>
    </font>
    <font>
      <b/>
      <sz val="14"/>
      <name val="Times New Roman"/>
      <family val="1"/>
    </font>
    <font>
      <sz val="9"/>
      <name val="Times New Roman"/>
      <family val="1"/>
    </font>
    <font>
      <b/>
      <sz val="8"/>
      <name val="Calibri"/>
      <family val="2"/>
      <charset val="1"/>
    </font>
    <font>
      <sz val="8"/>
      <name val="Calibri"/>
      <family val="2"/>
      <charset val="1"/>
    </font>
    <font>
      <sz val="9"/>
      <name val="Arial Narrow"/>
      <family val="2"/>
    </font>
    <font>
      <sz val="8"/>
      <name val="Arial Narrow"/>
      <family val="2"/>
    </font>
    <font>
      <b/>
      <sz val="8"/>
      <name val="Arial Narrow"/>
      <family val="2"/>
    </font>
    <font>
      <i/>
      <sz val="9"/>
      <name val="Times New Roman"/>
      <family val="1"/>
    </font>
    <font>
      <sz val="12"/>
      <name val="Arial Narrow"/>
      <family val="2"/>
    </font>
    <font>
      <b/>
      <sz val="14"/>
      <name val="Calibri"/>
      <family val="2"/>
      <charset val="1"/>
    </font>
    <font>
      <sz val="12"/>
      <name val="Times New Roman"/>
      <family val="1"/>
    </font>
    <font>
      <sz val="9"/>
      <color indexed="81"/>
      <name val="Tahoma"/>
      <family val="2"/>
    </font>
    <font>
      <b/>
      <sz val="9"/>
      <color indexed="81"/>
      <name val="Tahoma"/>
      <family val="2"/>
    </font>
    <font>
      <sz val="11"/>
      <color indexed="8"/>
      <name val="Times New Roman"/>
      <family val="1"/>
    </font>
    <font>
      <sz val="10"/>
      <name val="Times New Roman"/>
      <family val="1"/>
    </font>
    <font>
      <sz val="8"/>
      <name val="Times New Roman"/>
      <family val="1"/>
    </font>
    <font>
      <sz val="11"/>
      <color theme="1"/>
      <name val="Calibri"/>
      <family val="2"/>
      <scheme val="minor"/>
    </font>
    <font>
      <b/>
      <sz val="11"/>
      <color theme="1"/>
      <name val="Calibri"/>
      <family val="2"/>
      <scheme val="minor"/>
    </font>
    <font>
      <sz val="9"/>
      <color rgb="FF000000"/>
      <name val="Calibri"/>
      <family val="2"/>
      <charset val="1"/>
    </font>
    <font>
      <b/>
      <sz val="11"/>
      <color rgb="FF000000"/>
      <name val="Calibri"/>
      <family val="2"/>
    </font>
    <font>
      <sz val="8"/>
      <color rgb="FF000000"/>
      <name val="Arial Narrow"/>
      <family val="2"/>
    </font>
    <font>
      <sz val="8"/>
      <color theme="8" tint="0.59999389629810485"/>
      <name val="Arial Narrow"/>
      <family val="2"/>
    </font>
    <font>
      <sz val="8"/>
      <color theme="1"/>
      <name val="Arial Narrow"/>
      <family val="2"/>
    </font>
    <font>
      <sz val="9"/>
      <color theme="1"/>
      <name val="Calibri"/>
      <family val="2"/>
      <scheme val="minor"/>
    </font>
    <font>
      <sz val="11"/>
      <color theme="1"/>
      <name val="Arial Narrow"/>
      <family val="2"/>
    </font>
    <font>
      <sz val="9"/>
      <color theme="1"/>
      <name val="Arial Narrow"/>
      <family val="2"/>
    </font>
    <font>
      <sz val="12"/>
      <color theme="1"/>
      <name val="Arial Narrow"/>
      <family val="2"/>
    </font>
    <font>
      <sz val="12"/>
      <color theme="1"/>
      <name val="Calibri"/>
      <family val="2"/>
      <scheme val="minor"/>
    </font>
    <font>
      <b/>
      <sz val="9"/>
      <color rgb="FF000000"/>
      <name val="Arial Narrow"/>
      <family val="2"/>
    </font>
    <font>
      <sz val="9"/>
      <color rgb="FF000000"/>
      <name val="Times New Roman"/>
      <family val="1"/>
    </font>
    <font>
      <sz val="9"/>
      <color rgb="FF000000"/>
      <name val="Arial Narrow"/>
      <family val="2"/>
    </font>
    <font>
      <sz val="11"/>
      <color theme="1"/>
      <name val="Times New Roman"/>
      <family val="1"/>
    </font>
    <font>
      <sz val="12"/>
      <color theme="1"/>
      <name val="Times New Roman"/>
      <family val="1"/>
    </font>
    <font>
      <b/>
      <sz val="11"/>
      <color theme="1"/>
      <name val="Times New Roman"/>
      <family val="1"/>
    </font>
    <font>
      <b/>
      <sz val="12"/>
      <color theme="1"/>
      <name val="Arial Narrow"/>
      <family val="2"/>
    </font>
    <font>
      <i/>
      <sz val="8"/>
      <color theme="1"/>
      <name val="Arial Narrow"/>
      <family val="2"/>
    </font>
    <font>
      <b/>
      <sz val="8"/>
      <color theme="1"/>
      <name val="Arial Narrow"/>
      <family val="2"/>
    </font>
    <font>
      <sz val="9"/>
      <color theme="1"/>
      <name val="Times New Roman"/>
      <family val="1"/>
    </font>
    <font>
      <b/>
      <sz val="12"/>
      <color theme="1"/>
      <name val="Times New Roman"/>
      <family val="1"/>
    </font>
    <font>
      <sz val="8"/>
      <color theme="1"/>
      <name val="Times New Roman"/>
      <family val="1"/>
    </font>
    <font>
      <b/>
      <sz val="8"/>
      <color theme="1"/>
      <name val="Times New Roman"/>
      <family val="1"/>
    </font>
    <font>
      <b/>
      <sz val="9"/>
      <color theme="1"/>
      <name val="Arial Narrow"/>
      <family val="2"/>
    </font>
    <font>
      <u/>
      <sz val="11"/>
      <color theme="1"/>
      <name val="Calibri"/>
      <family val="2"/>
      <scheme val="minor"/>
    </font>
    <font>
      <sz val="8"/>
      <color rgb="FF000000"/>
      <name val="Times New Roman"/>
      <family val="1"/>
    </font>
    <font>
      <sz val="8"/>
      <color theme="1"/>
      <name val="Calibri"/>
      <family val="2"/>
      <scheme val="minor"/>
    </font>
    <font>
      <b/>
      <sz val="9"/>
      <color theme="1"/>
      <name val="Calibri"/>
      <family val="2"/>
      <scheme val="minor"/>
    </font>
    <font>
      <b/>
      <sz val="8"/>
      <color theme="1"/>
      <name val="Calibri"/>
      <family val="2"/>
      <scheme val="minor"/>
    </font>
    <font>
      <sz val="10"/>
      <color theme="1"/>
      <name val="Calibri"/>
      <family val="2"/>
      <scheme val="minor"/>
    </font>
    <font>
      <sz val="10"/>
      <color theme="1"/>
      <name val="Times New Roman"/>
      <family val="1"/>
    </font>
    <font>
      <b/>
      <sz val="9"/>
      <color rgb="FF000000"/>
      <name val="Times New Roman"/>
      <family val="1"/>
    </font>
    <font>
      <i/>
      <sz val="8"/>
      <color theme="1"/>
      <name val="Times New Roman"/>
      <family val="1"/>
    </font>
    <font>
      <i/>
      <sz val="11"/>
      <color theme="1"/>
      <name val="Times New Roman"/>
      <family val="1"/>
    </font>
    <font>
      <sz val="10"/>
      <name val="Arial Narrow"/>
      <family val="2"/>
    </font>
    <font>
      <b/>
      <sz val="11"/>
      <color rgb="FF000000"/>
      <name val="Arial Narrow"/>
      <family val="2"/>
    </font>
    <font>
      <b/>
      <sz val="9"/>
      <name val="Times New Roman"/>
      <family val="1"/>
    </font>
    <font>
      <b/>
      <sz val="9"/>
      <color theme="1"/>
      <name val="Times New Roman"/>
      <family val="1"/>
    </font>
    <font>
      <i/>
      <sz val="12"/>
      <color theme="1"/>
      <name val="Times New Roman"/>
      <family val="1"/>
    </font>
    <font>
      <i/>
      <sz val="12"/>
      <name val="Times New Roman"/>
      <family val="1"/>
    </font>
    <font>
      <b/>
      <sz val="6"/>
      <name val="Times New Roman"/>
      <family val="1"/>
    </font>
    <font>
      <i/>
      <sz val="10"/>
      <name val="Times New Roman"/>
      <family val="1"/>
    </font>
    <font>
      <b/>
      <sz val="11"/>
      <color rgb="FF000000"/>
      <name val="Times New Roman"/>
      <family val="1"/>
    </font>
    <font>
      <sz val="9"/>
      <color theme="8" tint="0.59999389629810485"/>
      <name val="Times New Roman"/>
      <family val="1"/>
    </font>
    <font>
      <b/>
      <sz val="8"/>
      <name val="Times New Roman"/>
      <family val="1"/>
    </font>
    <font>
      <b/>
      <sz val="7"/>
      <color theme="1"/>
      <name val="Times New Roman"/>
      <family val="1"/>
    </font>
    <font>
      <b/>
      <sz val="10"/>
      <name val="Times New Roman"/>
      <family val="1"/>
    </font>
    <font>
      <b/>
      <sz val="10"/>
      <color rgb="FF000000"/>
      <name val="Times New Roman"/>
      <family val="1"/>
    </font>
    <font>
      <b/>
      <u/>
      <sz val="12"/>
      <color theme="1"/>
      <name val="Arial Narrow"/>
      <family val="2"/>
    </font>
    <font>
      <sz val="12"/>
      <color rgb="FF000000"/>
      <name val="Arial Narrow"/>
      <family val="2"/>
    </font>
    <font>
      <b/>
      <sz val="12"/>
      <name val="Arial Narrow"/>
      <family val="2"/>
    </font>
    <font>
      <u/>
      <sz val="12"/>
      <color theme="1"/>
      <name val="Arial Narrow"/>
      <family val="2"/>
    </font>
    <font>
      <sz val="11"/>
      <color rgb="FFFF0000"/>
      <name val="Calibri"/>
      <family val="2"/>
      <scheme val="minor"/>
    </font>
    <font>
      <b/>
      <sz val="10"/>
      <name val="Arial"/>
      <family val="2"/>
    </font>
    <font>
      <sz val="10"/>
      <name val="Arial"/>
      <family val="2"/>
    </font>
    <font>
      <sz val="10"/>
      <name val="Calibri"/>
      <family val="2"/>
      <scheme val="minor"/>
    </font>
    <font>
      <sz val="11"/>
      <name val="Arial"/>
      <family val="2"/>
    </font>
    <font>
      <sz val="8"/>
      <name val="Calibri"/>
      <family val="2"/>
      <scheme val="minor"/>
    </font>
    <font>
      <u/>
      <sz val="11"/>
      <color theme="10"/>
      <name val="Calibri"/>
      <family val="2"/>
      <scheme val="minor"/>
    </font>
    <font>
      <b/>
      <i/>
      <sz val="16"/>
      <color theme="1"/>
      <name val="Times New Roman"/>
      <family val="1"/>
    </font>
    <font>
      <sz val="11"/>
      <name val="Times New Roman"/>
      <family val="1"/>
    </font>
    <font>
      <sz val="11"/>
      <color rgb="FFFF0000"/>
      <name val="Times New Roman"/>
      <family val="1"/>
    </font>
    <font>
      <u/>
      <sz val="11"/>
      <color theme="1"/>
      <name val="Times New Roman"/>
      <family val="1"/>
    </font>
    <font>
      <b/>
      <i/>
      <sz val="11"/>
      <color theme="1"/>
      <name val="Times New Roman"/>
      <family val="1"/>
    </font>
    <font>
      <b/>
      <u/>
      <sz val="11"/>
      <color theme="1"/>
      <name val="Times New Roman"/>
      <family val="1"/>
    </font>
    <font>
      <sz val="9"/>
      <color rgb="FFFF0000"/>
      <name val="Times New Roman"/>
      <family val="1"/>
    </font>
    <font>
      <b/>
      <sz val="9"/>
      <color rgb="FFFF0000"/>
      <name val="Times New Roman"/>
      <family val="1"/>
    </font>
    <font>
      <sz val="11"/>
      <color theme="0"/>
      <name val="Times New Roman"/>
      <family val="1"/>
    </font>
    <font>
      <i/>
      <sz val="11"/>
      <color theme="0"/>
      <name val="Times New Roman"/>
      <family val="1"/>
    </font>
    <font>
      <i/>
      <sz val="10"/>
      <color theme="0"/>
      <name val="Times New Roman"/>
      <family val="1"/>
    </font>
    <font>
      <sz val="11"/>
      <color theme="0"/>
      <name val="Calibri"/>
      <family val="2"/>
      <scheme val="minor"/>
    </font>
    <font>
      <sz val="9"/>
      <name val="Calibri"/>
      <family val="2"/>
      <scheme val="minor"/>
    </font>
    <font>
      <b/>
      <sz val="9"/>
      <color theme="0"/>
      <name val="Times New Roman"/>
      <family val="1"/>
    </font>
    <font>
      <sz val="11"/>
      <color theme="3"/>
      <name val="Calibri"/>
      <family val="2"/>
      <scheme val="minor"/>
    </font>
    <font>
      <b/>
      <sz val="12"/>
      <color theme="1"/>
      <name val="Calibri"/>
      <family val="2"/>
      <scheme val="minor"/>
    </font>
    <font>
      <sz val="9"/>
      <color theme="0"/>
      <name val="Times New Roman"/>
      <family val="1"/>
    </font>
  </fonts>
  <fills count="15">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rgb="FF00B0F0"/>
        <bgColor indexed="64"/>
      </patternFill>
    </fill>
    <fill>
      <patternFill patternType="solid">
        <fgColor rgb="FFFFC000"/>
        <bgColor indexed="64"/>
      </patternFill>
    </fill>
    <fill>
      <patternFill patternType="solid">
        <fgColor rgb="FF00B050"/>
        <bgColor indexed="64"/>
      </patternFill>
    </fill>
    <fill>
      <patternFill patternType="solid">
        <fgColor theme="4"/>
        <bgColor indexed="64"/>
      </patternFill>
    </fill>
    <fill>
      <patternFill patternType="solid">
        <fgColor theme="3" tint="0.79998168889431442"/>
        <bgColor indexed="64"/>
      </patternFill>
    </fill>
    <fill>
      <patternFill patternType="solid">
        <fgColor theme="0"/>
        <bgColor indexed="64"/>
      </patternFill>
    </fill>
    <fill>
      <patternFill patternType="solid">
        <fgColor rgb="FFC0000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8"/>
      </right>
      <top/>
      <bottom style="thin">
        <color indexed="8"/>
      </bottom>
      <diagonal/>
    </border>
    <border>
      <left style="thin">
        <color indexed="8"/>
      </left>
      <right/>
      <top style="thin">
        <color indexed="64"/>
      </top>
      <bottom style="thin">
        <color indexed="64"/>
      </bottom>
      <diagonal/>
    </border>
    <border>
      <left/>
      <right/>
      <top style="thin">
        <color indexed="8"/>
      </top>
      <bottom style="thin">
        <color indexed="8"/>
      </bottom>
      <diagonal/>
    </border>
    <border>
      <left style="dashed">
        <color indexed="8"/>
      </left>
      <right style="dashed">
        <color indexed="8"/>
      </right>
      <top style="dashed">
        <color indexed="8"/>
      </top>
      <bottom/>
      <diagonal/>
    </border>
    <border>
      <left style="dashed">
        <color indexed="8"/>
      </left>
      <right/>
      <top style="thin">
        <color indexed="64"/>
      </top>
      <bottom/>
      <diagonal/>
    </border>
    <border>
      <left/>
      <right style="thin">
        <color indexed="8"/>
      </right>
      <top/>
      <bottom/>
      <diagonal/>
    </border>
    <border>
      <left style="thin">
        <color indexed="8"/>
      </left>
      <right style="thin">
        <color indexed="8"/>
      </right>
      <top/>
      <bottom/>
      <diagonal/>
    </border>
    <border>
      <left style="thin">
        <color indexed="8"/>
      </left>
      <right/>
      <top/>
      <bottom/>
      <diagonal/>
    </border>
    <border>
      <left/>
      <right style="hair">
        <color auto="1"/>
      </right>
      <top/>
      <bottom/>
      <diagonal/>
    </border>
    <border>
      <left style="dashed">
        <color indexed="8"/>
      </left>
      <right style="dashed">
        <color indexed="8"/>
      </right>
      <top/>
      <bottom/>
      <diagonal/>
    </border>
  </borders>
  <cellStyleXfs count="6">
    <xf numFmtId="0" fontId="0" fillId="0" borderId="0"/>
    <xf numFmtId="43" fontId="18" fillId="0" borderId="0" applyFont="0" applyFill="0" applyBorder="0" applyAlignment="0" applyProtection="0"/>
    <xf numFmtId="0" fontId="1" fillId="0" borderId="0"/>
    <xf numFmtId="9" fontId="18" fillId="0" borderId="0" applyFont="0" applyFill="0" applyBorder="0" applyAlignment="0" applyProtection="0"/>
    <xf numFmtId="0" fontId="18" fillId="0" borderId="0"/>
    <xf numFmtId="0" fontId="78" fillId="0" borderId="0" applyNumberFormat="0" applyFill="0" applyBorder="0" applyAlignment="0" applyProtection="0"/>
  </cellStyleXfs>
  <cellXfs count="894">
    <xf numFmtId="0" fontId="0" fillId="0" borderId="0" xfId="0"/>
    <xf numFmtId="0" fontId="0" fillId="0" borderId="1" xfId="0" applyBorder="1" applyAlignment="1">
      <alignment horizontal="right"/>
    </xf>
    <xf numFmtId="4" fontId="0" fillId="0" borderId="0" xfId="0" applyNumberFormat="1"/>
    <xf numFmtId="165" fontId="0" fillId="0" borderId="1" xfId="0" applyNumberFormat="1" applyBorder="1" applyAlignment="1">
      <alignment horizontal="right"/>
    </xf>
    <xf numFmtId="0" fontId="0" fillId="0" borderId="1" xfId="0" applyBorder="1"/>
    <xf numFmtId="0" fontId="20" fillId="0" borderId="0" xfId="0" applyFont="1"/>
    <xf numFmtId="10" fontId="0" fillId="0" borderId="0" xfId="0" applyNumberFormat="1"/>
    <xf numFmtId="166" fontId="18" fillId="0" borderId="0" xfId="3" applyNumberFormat="1" applyFont="1" applyBorder="1"/>
    <xf numFmtId="0" fontId="20" fillId="0" borderId="0" xfId="0" applyFont="1" applyAlignment="1">
      <alignment horizontal="left"/>
    </xf>
    <xf numFmtId="4" fontId="0" fillId="0" borderId="0" xfId="0" applyNumberFormat="1" applyAlignment="1">
      <alignment horizontal="center"/>
    </xf>
    <xf numFmtId="169" fontId="0" fillId="0" borderId="0" xfId="0" applyNumberFormat="1" applyAlignment="1">
      <alignment horizontal="center"/>
    </xf>
    <xf numFmtId="0" fontId="21" fillId="0" borderId="0" xfId="0" applyFont="1" applyAlignment="1">
      <alignment horizontal="center"/>
    </xf>
    <xf numFmtId="0" fontId="0" fillId="0" borderId="0" xfId="0" quotePrefix="1"/>
    <xf numFmtId="165" fontId="21" fillId="0" borderId="0" xfId="0" applyNumberFormat="1" applyFont="1" applyAlignment="1">
      <alignment horizontal="center"/>
    </xf>
    <xf numFmtId="165" fontId="0" fillId="0" borderId="0" xfId="0" applyNumberFormat="1"/>
    <xf numFmtId="4" fontId="22" fillId="0" borderId="1" xfId="0" applyNumberFormat="1" applyFont="1" applyBorder="1" applyAlignment="1">
      <alignment horizontal="center" vertical="center"/>
    </xf>
    <xf numFmtId="10" fontId="7" fillId="0" borderId="1" xfId="3" applyNumberFormat="1" applyFont="1" applyBorder="1" applyAlignment="1">
      <alignment horizontal="center" vertical="center"/>
    </xf>
    <xf numFmtId="4" fontId="22" fillId="0" borderId="1" xfId="0" applyNumberFormat="1" applyFont="1" applyBorder="1" applyAlignment="1">
      <alignment horizontal="center" vertical="center" wrapText="1"/>
    </xf>
    <xf numFmtId="4" fontId="23" fillId="0" borderId="1" xfId="0" applyNumberFormat="1" applyFont="1" applyBorder="1" applyAlignment="1">
      <alignment horizontal="center" vertical="center"/>
    </xf>
    <xf numFmtId="4" fontId="24" fillId="0" borderId="1" xfId="0" applyNumberFormat="1" applyFont="1" applyBorder="1" applyAlignment="1">
      <alignment horizontal="center" vertical="center"/>
    </xf>
    <xf numFmtId="0" fontId="24" fillId="0" borderId="1" xfId="0" applyFont="1" applyBorder="1" applyAlignment="1">
      <alignment horizontal="center" vertical="center"/>
    </xf>
    <xf numFmtId="165" fontId="22" fillId="0" borderId="1" xfId="0" applyNumberFormat="1" applyFont="1" applyBorder="1" applyAlignment="1">
      <alignment horizontal="center" vertical="center"/>
    </xf>
    <xf numFmtId="0" fontId="25" fillId="0" borderId="0" xfId="0" applyFont="1"/>
    <xf numFmtId="0" fontId="9" fillId="0" borderId="0" xfId="0" applyFont="1" applyAlignment="1">
      <alignment horizontal="center"/>
    </xf>
    <xf numFmtId="4" fontId="3" fillId="0" borderId="0" xfId="0" applyNumberFormat="1" applyFont="1" applyAlignment="1">
      <alignment horizontal="right"/>
    </xf>
    <xf numFmtId="0" fontId="24" fillId="0" borderId="0" xfId="0" applyFont="1"/>
    <xf numFmtId="0" fontId="26" fillId="0" borderId="0" xfId="0" applyFont="1"/>
    <xf numFmtId="0" fontId="28" fillId="0" borderId="0" xfId="0" applyFont="1"/>
    <xf numFmtId="0" fontId="24" fillId="0" borderId="2" xfId="0" applyFont="1" applyBorder="1" applyAlignment="1">
      <alignment horizontal="center" vertical="center"/>
    </xf>
    <xf numFmtId="0" fontId="29" fillId="0" borderId="0" xfId="0" applyFont="1"/>
    <xf numFmtId="165" fontId="11" fillId="0" borderId="1" xfId="0" applyNumberFormat="1" applyFont="1" applyBorder="1" applyAlignment="1">
      <alignment horizontal="center" vertical="center" wrapText="1"/>
    </xf>
    <xf numFmtId="0" fontId="12" fillId="0" borderId="9" xfId="0" applyFont="1" applyBorder="1" applyAlignment="1">
      <alignment horizontal="center" vertical="center"/>
    </xf>
    <xf numFmtId="169" fontId="0" fillId="0" borderId="0" xfId="0" applyNumberFormat="1" applyAlignment="1">
      <alignment horizontal="right"/>
    </xf>
    <xf numFmtId="43" fontId="12" fillId="2" borderId="5" xfId="1" applyFont="1" applyFill="1" applyBorder="1" applyAlignment="1">
      <alignment horizontal="right" vertical="center"/>
    </xf>
    <xf numFmtId="170" fontId="12" fillId="0" borderId="9" xfId="1" applyNumberFormat="1" applyFont="1" applyBorder="1" applyAlignment="1">
      <alignment horizontal="center" vertical="center"/>
    </xf>
    <xf numFmtId="10" fontId="22" fillId="0" borderId="1" xfId="3" quotePrefix="1" applyNumberFormat="1" applyFont="1" applyBorder="1" applyAlignment="1">
      <alignment horizontal="center" vertical="center"/>
    </xf>
    <xf numFmtId="10" fontId="7" fillId="0" borderId="1" xfId="3" quotePrefix="1" applyNumberFormat="1" applyFont="1" applyBorder="1" applyAlignment="1">
      <alignment horizontal="center" vertical="center"/>
    </xf>
    <xf numFmtId="0" fontId="31" fillId="0" borderId="0" xfId="0" applyFont="1"/>
    <xf numFmtId="0" fontId="27" fillId="0" borderId="0" xfId="0" applyFont="1"/>
    <xf numFmtId="0" fontId="33" fillId="0" borderId="1" xfId="0" applyFont="1" applyBorder="1" applyAlignment="1">
      <alignment horizontal="center" vertical="center" wrapText="1"/>
    </xf>
    <xf numFmtId="0" fontId="34" fillId="0" borderId="1" xfId="0" applyFont="1" applyBorder="1" applyAlignment="1">
      <alignment horizontal="center" vertical="center" wrapText="1"/>
    </xf>
    <xf numFmtId="4" fontId="7" fillId="0" borderId="1" xfId="0" quotePrefix="1" applyNumberFormat="1" applyFont="1" applyBorder="1" applyAlignment="1">
      <alignment horizontal="center" vertical="center"/>
    </xf>
    <xf numFmtId="4" fontId="22" fillId="0" borderId="1" xfId="0" quotePrefix="1" applyNumberFormat="1" applyFont="1" applyBorder="1" applyAlignment="1">
      <alignment horizontal="center" vertical="center"/>
    </xf>
    <xf numFmtId="4" fontId="22" fillId="0" borderId="2" xfId="0" applyNumberFormat="1" applyFont="1" applyBorder="1" applyAlignment="1">
      <alignment horizontal="center" vertical="center"/>
    </xf>
    <xf numFmtId="0" fontId="26" fillId="0" borderId="0" xfId="0" applyFont="1" applyAlignment="1">
      <alignment horizontal="center"/>
    </xf>
    <xf numFmtId="0" fontId="37" fillId="0" borderId="0" xfId="0" applyFont="1"/>
    <xf numFmtId="43" fontId="27" fillId="0" borderId="1" xfId="1" quotePrefix="1" applyFont="1" applyBorder="1"/>
    <xf numFmtId="0" fontId="0" fillId="0" borderId="1" xfId="0" applyBorder="1" applyAlignment="1">
      <alignment horizontal="center" vertical="center" wrapText="1"/>
    </xf>
    <xf numFmtId="10" fontId="26" fillId="0" borderId="1" xfId="0" applyNumberFormat="1" applyFont="1" applyBorder="1" applyAlignment="1">
      <alignment horizontal="center" vertical="center" wrapText="1"/>
    </xf>
    <xf numFmtId="2" fontId="26" fillId="0" borderId="1" xfId="0" quotePrefix="1" applyNumberFormat="1" applyFont="1" applyBorder="1" applyAlignment="1">
      <alignment horizontal="center" vertical="center" wrapText="1"/>
    </xf>
    <xf numFmtId="0" fontId="5" fillId="0" borderId="0" xfId="0" applyFont="1" applyAlignment="1">
      <alignment horizontal="left" vertical="center"/>
    </xf>
    <xf numFmtId="0" fontId="28" fillId="0" borderId="1" xfId="0" applyFont="1" applyBorder="1" applyAlignment="1">
      <alignment horizontal="center"/>
    </xf>
    <xf numFmtId="4" fontId="22" fillId="2" borderId="1" xfId="0" applyNumberFormat="1" applyFont="1" applyFill="1" applyBorder="1" applyAlignment="1">
      <alignment horizontal="center" vertical="center"/>
    </xf>
    <xf numFmtId="166" fontId="6" fillId="0" borderId="1" xfId="3" applyNumberFormat="1" applyFont="1" applyBorder="1" applyAlignment="1">
      <alignment horizontal="center" vertical="center"/>
    </xf>
    <xf numFmtId="0" fontId="0" fillId="0" borderId="0" xfId="0" applyAlignment="1">
      <alignment horizontal="center"/>
    </xf>
    <xf numFmtId="0" fontId="38" fillId="0" borderId="13" xfId="0" applyFont="1" applyBorder="1" applyAlignment="1">
      <alignment horizontal="center" vertical="center" wrapText="1"/>
    </xf>
    <xf numFmtId="0" fontId="24" fillId="2" borderId="1" xfId="0" applyFont="1" applyFill="1" applyBorder="1" applyAlignment="1">
      <alignment horizontal="center"/>
    </xf>
    <xf numFmtId="0" fontId="21" fillId="0" borderId="0" xfId="0" applyFont="1" applyAlignment="1">
      <alignment horizontal="left"/>
    </xf>
    <xf numFmtId="0" fontId="30" fillId="0" borderId="1" xfId="0" applyFont="1" applyBorder="1" applyAlignment="1">
      <alignment horizontal="center" vertical="center" wrapText="1"/>
    </xf>
    <xf numFmtId="0" fontId="0" fillId="0" borderId="1" xfId="0" applyBorder="1" applyAlignment="1">
      <alignment horizontal="center"/>
    </xf>
    <xf numFmtId="0" fontId="33" fillId="0" borderId="0" xfId="0" applyFont="1"/>
    <xf numFmtId="10" fontId="33" fillId="0" borderId="1" xfId="0" applyNumberFormat="1" applyFont="1" applyBorder="1" applyAlignment="1">
      <alignment horizontal="center"/>
    </xf>
    <xf numFmtId="0" fontId="33" fillId="0" borderId="0" xfId="0" applyFont="1" applyAlignment="1">
      <alignment horizontal="center"/>
    </xf>
    <xf numFmtId="43" fontId="33" fillId="0" borderId="1" xfId="1" applyFont="1" applyBorder="1"/>
    <xf numFmtId="0" fontId="33" fillId="0" borderId="0" xfId="0" applyFont="1" applyAlignment="1">
      <alignment horizontal="center" vertical="center" wrapText="1"/>
    </xf>
    <xf numFmtId="164" fontId="33" fillId="0" borderId="0" xfId="0" applyNumberFormat="1" applyFont="1"/>
    <xf numFmtId="0" fontId="33" fillId="0" borderId="7" xfId="0" applyFont="1" applyBorder="1" applyAlignment="1">
      <alignment horizontal="center" vertical="center" wrapText="1"/>
    </xf>
    <xf numFmtId="0" fontId="41" fillId="0" borderId="0" xfId="0" applyFont="1"/>
    <xf numFmtId="0" fontId="41" fillId="0" borderId="1" xfId="0" applyFont="1" applyBorder="1" applyAlignment="1">
      <alignment horizontal="center" vertical="center" wrapText="1"/>
    </xf>
    <xf numFmtId="43" fontId="43" fillId="0" borderId="1" xfId="1" quotePrefix="1" applyFont="1" applyBorder="1"/>
    <xf numFmtId="0" fontId="27" fillId="0" borderId="1" xfId="0" applyFont="1" applyBorder="1" applyAlignment="1">
      <alignment horizontal="center" vertical="center" wrapText="1"/>
    </xf>
    <xf numFmtId="2" fontId="43" fillId="0" borderId="1" xfId="0" quotePrefix="1" applyNumberFormat="1" applyFont="1" applyBorder="1" applyAlignment="1">
      <alignment horizontal="center" vertical="center" wrapText="1"/>
    </xf>
    <xf numFmtId="0" fontId="42" fillId="0" borderId="1" xfId="0" applyFont="1" applyBorder="1" applyAlignment="1">
      <alignment horizontal="center" vertical="center" wrapText="1"/>
    </xf>
    <xf numFmtId="164" fontId="41" fillId="2" borderId="1" xfId="0" applyNumberFormat="1" applyFont="1" applyFill="1" applyBorder="1" applyAlignment="1">
      <alignment horizontal="center" vertical="center" wrapText="1"/>
    </xf>
    <xf numFmtId="174" fontId="41" fillId="2" borderId="1" xfId="0" applyNumberFormat="1" applyFont="1" applyFill="1" applyBorder="1" applyAlignment="1">
      <alignment horizontal="center" vertical="center" wrapText="1"/>
    </xf>
    <xf numFmtId="174" fontId="41" fillId="0" borderId="1" xfId="0" applyNumberFormat="1" applyFont="1" applyBorder="1" applyAlignment="1">
      <alignment horizontal="center" vertical="center" wrapText="1"/>
    </xf>
    <xf numFmtId="164" fontId="33" fillId="2" borderId="1" xfId="0" applyNumberFormat="1" applyFont="1" applyFill="1" applyBorder="1" applyAlignment="1">
      <alignment horizontal="center" vertical="center" wrapText="1"/>
    </xf>
    <xf numFmtId="174" fontId="33" fillId="2" borderId="1" xfId="0" applyNumberFormat="1" applyFont="1" applyFill="1" applyBorder="1" applyAlignment="1">
      <alignment horizontal="center" vertical="center" wrapText="1"/>
    </xf>
    <xf numFmtId="0" fontId="33" fillId="0" borderId="0" xfId="0" applyFont="1" applyAlignment="1">
      <alignment wrapText="1"/>
    </xf>
    <xf numFmtId="0" fontId="35" fillId="0" borderId="1" xfId="0" applyFont="1" applyBorder="1" applyAlignment="1">
      <alignment horizontal="center" vertical="center" wrapText="1"/>
    </xf>
    <xf numFmtId="0" fontId="41" fillId="0" borderId="14" xfId="0" applyFont="1" applyBorder="1" applyAlignment="1">
      <alignment horizontal="center" vertical="center" wrapText="1"/>
    </xf>
    <xf numFmtId="0" fontId="17" fillId="0" borderId="0" xfId="0" applyFont="1"/>
    <xf numFmtId="0" fontId="17" fillId="0" borderId="0" xfId="0" applyFont="1" applyAlignment="1">
      <alignment horizontal="center" vertical="center" wrapText="1"/>
    </xf>
    <xf numFmtId="174" fontId="17" fillId="0" borderId="1" xfId="1" applyNumberFormat="1" applyFont="1" applyBorder="1" applyAlignment="1">
      <alignment horizontal="left" vertical="center"/>
    </xf>
    <xf numFmtId="164" fontId="41" fillId="0" borderId="1" xfId="0" applyNumberFormat="1" applyFont="1" applyBorder="1" applyAlignment="1">
      <alignment horizontal="center" vertical="center" wrapText="1"/>
    </xf>
    <xf numFmtId="174" fontId="17" fillId="0" borderId="1" xfId="1" applyNumberFormat="1" applyFont="1" applyBorder="1" applyAlignment="1">
      <alignment horizontal="center" vertical="center" wrapText="1"/>
    </xf>
    <xf numFmtId="174" fontId="17" fillId="0" borderId="1" xfId="1" quotePrefix="1" applyNumberFormat="1" applyFont="1" applyBorder="1" applyAlignment="1">
      <alignment horizontal="center" vertical="center" wrapText="1"/>
    </xf>
    <xf numFmtId="175" fontId="15" fillId="0" borderId="0" xfId="1" applyNumberFormat="1" applyFont="1"/>
    <xf numFmtId="174" fontId="17" fillId="2" borderId="1" xfId="1" applyNumberFormat="1" applyFont="1" applyFill="1" applyBorder="1" applyAlignment="1">
      <alignment horizontal="center" vertical="center" wrapText="1"/>
    </xf>
    <xf numFmtId="0" fontId="12" fillId="0" borderId="0" xfId="0" applyFont="1" applyAlignment="1">
      <alignment horizontal="center" vertical="center" wrapText="1"/>
    </xf>
    <xf numFmtId="174" fontId="17" fillId="0" borderId="0" xfId="1" applyNumberFormat="1" applyFont="1" applyAlignment="1">
      <alignment horizontal="left" vertical="center"/>
    </xf>
    <xf numFmtId="174" fontId="16" fillId="0" borderId="0" xfId="1" applyNumberFormat="1" applyFont="1" applyAlignment="1">
      <alignment horizontal="center" vertical="center" wrapText="1"/>
    </xf>
    <xf numFmtId="174" fontId="16" fillId="0" borderId="0" xfId="1" quotePrefix="1" applyNumberFormat="1" applyFont="1" applyAlignment="1">
      <alignment horizontal="center" vertical="center" wrapText="1"/>
    </xf>
    <xf numFmtId="174" fontId="16" fillId="0" borderId="0" xfId="1" applyNumberFormat="1" applyFont="1" applyBorder="1" applyAlignment="1">
      <alignment horizontal="center" vertical="center" wrapText="1"/>
    </xf>
    <xf numFmtId="0" fontId="44" fillId="0" borderId="0" xfId="0" applyFont="1" applyAlignment="1">
      <alignment horizontal="center" vertical="center" wrapText="1"/>
    </xf>
    <xf numFmtId="43" fontId="45" fillId="0" borderId="1" xfId="1" applyFont="1" applyBorder="1" applyAlignment="1">
      <alignment horizontal="center" vertical="center" wrapText="1"/>
    </xf>
    <xf numFmtId="43" fontId="45" fillId="0" borderId="1" xfId="1" applyFont="1" applyFill="1" applyBorder="1" applyAlignment="1">
      <alignment horizontal="center" vertical="center" wrapText="1"/>
    </xf>
    <xf numFmtId="43" fontId="45" fillId="0" borderId="1" xfId="1" applyFont="1" applyBorder="1" applyAlignment="1">
      <alignment vertical="center" wrapText="1"/>
    </xf>
    <xf numFmtId="4" fontId="45" fillId="0" borderId="1" xfId="0" applyNumberFormat="1" applyFont="1" applyBorder="1" applyAlignment="1">
      <alignment horizontal="center" vertical="center" wrapText="1"/>
    </xf>
    <xf numFmtId="174" fontId="46" fillId="0" borderId="1" xfId="0" applyNumberFormat="1" applyFont="1" applyBorder="1" applyAlignment="1">
      <alignment horizontal="center" vertical="center" wrapText="1"/>
    </xf>
    <xf numFmtId="174" fontId="46" fillId="0" borderId="1" xfId="0" applyNumberFormat="1" applyFont="1" applyBorder="1"/>
    <xf numFmtId="0" fontId="46" fillId="0" borderId="1" xfId="0" quotePrefix="1" applyFont="1" applyBorder="1"/>
    <xf numFmtId="0" fontId="46" fillId="0" borderId="1" xfId="0" applyFont="1" applyBorder="1"/>
    <xf numFmtId="164" fontId="46" fillId="0" borderId="1" xfId="0" applyNumberFormat="1" applyFont="1" applyBorder="1"/>
    <xf numFmtId="4" fontId="46" fillId="0" borderId="1" xfId="0" applyNumberFormat="1" applyFont="1" applyBorder="1" applyAlignment="1">
      <alignment horizontal="center" vertical="center" wrapText="1"/>
    </xf>
    <xf numFmtId="177" fontId="46" fillId="0" borderId="1" xfId="0" applyNumberFormat="1" applyFont="1" applyBorder="1"/>
    <xf numFmtId="0" fontId="25" fillId="0" borderId="0" xfId="0" applyFont="1" applyAlignment="1">
      <alignment horizontal="center"/>
    </xf>
    <xf numFmtId="43" fontId="25" fillId="0" borderId="1" xfId="1" applyFont="1" applyBorder="1"/>
    <xf numFmtId="177" fontId="0" fillId="0" borderId="0" xfId="0" applyNumberFormat="1"/>
    <xf numFmtId="164" fontId="0" fillId="0" borderId="0" xfId="0" applyNumberFormat="1"/>
    <xf numFmtId="0" fontId="0" fillId="0" borderId="0" xfId="0" applyAlignment="1">
      <alignment horizontal="center" vertical="center" wrapText="1"/>
    </xf>
    <xf numFmtId="0" fontId="47" fillId="0" borderId="0" xfId="0" applyFont="1" applyAlignment="1">
      <alignment horizontal="center" vertical="center" wrapText="1"/>
    </xf>
    <xf numFmtId="178" fontId="0" fillId="0" borderId="0" xfId="0" applyNumberFormat="1"/>
    <xf numFmtId="0" fontId="46" fillId="0" borderId="0" xfId="0" applyFont="1"/>
    <xf numFmtId="0" fontId="46" fillId="0" borderId="2" xfId="0" applyFont="1" applyBorder="1" applyAlignment="1">
      <alignment horizontal="center" vertical="center" wrapText="1"/>
    </xf>
    <xf numFmtId="0" fontId="46" fillId="0" borderId="1" xfId="0" applyFont="1" applyBorder="1" applyAlignment="1">
      <alignment horizontal="center" vertical="center" wrapText="1"/>
    </xf>
    <xf numFmtId="0" fontId="46" fillId="0" borderId="0" xfId="0" applyFont="1" applyAlignment="1">
      <alignment horizontal="center" vertical="center" wrapText="1"/>
    </xf>
    <xf numFmtId="179" fontId="46" fillId="0" borderId="1" xfId="1" applyNumberFormat="1" applyFont="1" applyBorder="1" applyAlignment="1">
      <alignment horizontal="center" vertical="center" wrapText="1"/>
    </xf>
    <xf numFmtId="4" fontId="41" fillId="3" borderId="10" xfId="0" applyNumberFormat="1" applyFont="1" applyFill="1" applyBorder="1" applyAlignment="1">
      <alignment horizontal="center" vertical="center" wrapText="1"/>
    </xf>
    <xf numFmtId="4" fontId="17" fillId="0" borderId="1" xfId="0" applyNumberFormat="1" applyFont="1" applyBorder="1" applyAlignment="1">
      <alignment horizontal="center" vertical="center" wrapText="1"/>
    </xf>
    <xf numFmtId="4" fontId="46" fillId="0" borderId="0" xfId="0" applyNumberFormat="1" applyFont="1" applyAlignment="1">
      <alignment horizontal="center" vertical="center" wrapText="1"/>
    </xf>
    <xf numFmtId="164" fontId="46" fillId="0" borderId="0" xfId="0" applyNumberFormat="1" applyFont="1" applyAlignment="1">
      <alignment horizontal="center" vertical="center" wrapText="1"/>
    </xf>
    <xf numFmtId="172" fontId="46" fillId="0" borderId="0" xfId="0" applyNumberFormat="1" applyFont="1" applyAlignment="1">
      <alignment horizontal="center" vertical="center" wrapText="1"/>
    </xf>
    <xf numFmtId="43" fontId="46" fillId="0" borderId="0" xfId="1" applyFont="1" applyFill="1" applyBorder="1" applyAlignment="1">
      <alignment horizontal="center" vertical="center" wrapText="1"/>
    </xf>
    <xf numFmtId="4" fontId="46" fillId="0" borderId="1" xfId="0" applyNumberFormat="1" applyFont="1" applyBorder="1"/>
    <xf numFmtId="0" fontId="46" fillId="0" borderId="1" xfId="0" applyFont="1" applyBorder="1" applyAlignment="1">
      <alignment horizontal="center"/>
    </xf>
    <xf numFmtId="0" fontId="0" fillId="0" borderId="13" xfId="0" applyBorder="1" applyAlignment="1">
      <alignment horizontal="center"/>
    </xf>
    <xf numFmtId="164" fontId="0" fillId="0" borderId="13" xfId="0" applyNumberFormat="1" applyBorder="1" applyAlignment="1">
      <alignment horizontal="center" vertical="center" wrapText="1"/>
    </xf>
    <xf numFmtId="43" fontId="18" fillId="3" borderId="13" xfId="1" applyFont="1" applyFill="1" applyBorder="1" applyAlignment="1">
      <alignment horizontal="center" vertical="center" wrapText="1"/>
    </xf>
    <xf numFmtId="43" fontId="18" fillId="0" borderId="14" xfId="1" applyFont="1" applyFill="1" applyBorder="1" applyAlignment="1">
      <alignment horizontal="center" vertical="center" wrapText="1"/>
    </xf>
    <xf numFmtId="164" fontId="0" fillId="0" borderId="1" xfId="0" applyNumberFormat="1" applyBorder="1" applyAlignment="1">
      <alignment horizontal="center" vertical="center" wrapText="1"/>
    </xf>
    <xf numFmtId="43" fontId="18" fillId="3" borderId="1" xfId="1" applyFont="1" applyFill="1" applyBorder="1" applyAlignment="1">
      <alignment horizontal="center" vertical="center" wrapText="1"/>
    </xf>
    <xf numFmtId="43" fontId="18" fillId="3" borderId="0" xfId="1" applyFont="1" applyFill="1" applyBorder="1" applyAlignment="1">
      <alignment horizontal="center" vertical="center" wrapText="1"/>
    </xf>
    <xf numFmtId="164" fontId="0" fillId="0" borderId="0" xfId="0" applyNumberFormat="1" applyAlignment="1">
      <alignment horizontal="center" vertical="center" wrapText="1"/>
    </xf>
    <xf numFmtId="43" fontId="18" fillId="0" borderId="0" xfId="1" applyFont="1" applyFill="1" applyBorder="1" applyAlignment="1">
      <alignment horizontal="center" vertical="center" wrapText="1"/>
    </xf>
    <xf numFmtId="0" fontId="47" fillId="0" borderId="1" xfId="0" applyFont="1" applyBorder="1" applyAlignment="1">
      <alignment horizontal="center" vertical="center" wrapText="1"/>
    </xf>
    <xf numFmtId="4" fontId="46" fillId="0" borderId="1" xfId="0" applyNumberFormat="1" applyFont="1" applyBorder="1" applyAlignment="1">
      <alignment horizontal="center"/>
    </xf>
    <xf numFmtId="43" fontId="18" fillId="0" borderId="1" xfId="1" applyFont="1" applyBorder="1" applyAlignment="1">
      <alignment horizontal="right"/>
    </xf>
    <xf numFmtId="43" fontId="46" fillId="0" borderId="1" xfId="1" applyFont="1" applyBorder="1" applyAlignment="1">
      <alignment horizontal="center"/>
    </xf>
    <xf numFmtId="0" fontId="19" fillId="3" borderId="2" xfId="0" applyFont="1" applyFill="1" applyBorder="1" applyAlignment="1">
      <alignment horizontal="center" vertical="center" wrapText="1"/>
    </xf>
    <xf numFmtId="4" fontId="25" fillId="0" borderId="1" xfId="0" applyNumberFormat="1" applyFont="1" applyBorder="1" applyAlignment="1">
      <alignment horizontal="center"/>
    </xf>
    <xf numFmtId="0" fontId="25" fillId="0" borderId="1" xfId="0" applyFont="1" applyBorder="1" applyAlignment="1">
      <alignment horizontal="center"/>
    </xf>
    <xf numFmtId="4" fontId="25" fillId="0" borderId="1" xfId="0" applyNumberFormat="1" applyFont="1" applyBorder="1"/>
    <xf numFmtId="0" fontId="19" fillId="3" borderId="1" xfId="0" applyFont="1" applyFill="1" applyBorder="1" applyAlignment="1">
      <alignment horizontal="center" vertical="center" wrapText="1"/>
    </xf>
    <xf numFmtId="4" fontId="48" fillId="0" borderId="1" xfId="0" applyNumberFormat="1" applyFont="1" applyBorder="1" applyAlignment="1">
      <alignment horizontal="center" vertical="center" wrapText="1"/>
    </xf>
    <xf numFmtId="0" fontId="49" fillId="0" borderId="1" xfId="0" applyFont="1" applyBorder="1" applyAlignment="1">
      <alignment horizontal="center" vertical="center" wrapText="1"/>
    </xf>
    <xf numFmtId="4" fontId="49" fillId="0" borderId="1" xfId="0" applyNumberFormat="1" applyFont="1" applyBorder="1" applyAlignment="1">
      <alignment horizontal="center" vertical="center" wrapText="1"/>
    </xf>
    <xf numFmtId="179" fontId="49" fillId="0" borderId="1" xfId="1" applyNumberFormat="1" applyFont="1" applyBorder="1" applyAlignment="1">
      <alignment horizontal="center" vertical="center" wrapText="1"/>
    </xf>
    <xf numFmtId="0" fontId="47" fillId="0" borderId="9" xfId="0" applyFont="1" applyBorder="1" applyAlignment="1">
      <alignment horizontal="center" vertical="center" wrapText="1"/>
    </xf>
    <xf numFmtId="4" fontId="46" fillId="0" borderId="9" xfId="0" applyNumberFormat="1" applyFont="1" applyBorder="1" applyAlignment="1">
      <alignment horizontal="center"/>
    </xf>
    <xf numFmtId="4" fontId="46" fillId="0" borderId="0" xfId="0" applyNumberFormat="1" applyFont="1" applyAlignment="1">
      <alignment horizontal="center"/>
    </xf>
    <xf numFmtId="0" fontId="19" fillId="3" borderId="5" xfId="0" applyFont="1" applyFill="1" applyBorder="1" applyAlignment="1">
      <alignment horizontal="center" vertical="center" wrapText="1"/>
    </xf>
    <xf numFmtId="4" fontId="25" fillId="0" borderId="9" xfId="0" applyNumberFormat="1" applyFont="1" applyBorder="1" applyAlignment="1">
      <alignment horizontal="center"/>
    </xf>
    <xf numFmtId="0" fontId="25" fillId="0" borderId="9" xfId="0" applyFont="1" applyBorder="1" applyAlignment="1">
      <alignment horizontal="center"/>
    </xf>
    <xf numFmtId="0" fontId="19" fillId="0" borderId="0" xfId="0" applyFont="1" applyAlignment="1">
      <alignment horizontal="center" vertical="center" wrapText="1"/>
    </xf>
    <xf numFmtId="4" fontId="25" fillId="0" borderId="0" xfId="0" applyNumberFormat="1" applyFont="1" applyAlignment="1">
      <alignment horizontal="center"/>
    </xf>
    <xf numFmtId="0" fontId="19" fillId="0" borderId="1" xfId="0" applyFont="1" applyBorder="1" applyAlignment="1">
      <alignment horizontal="center" vertical="center" wrapText="1"/>
    </xf>
    <xf numFmtId="4" fontId="41" fillId="0" borderId="1" xfId="0" applyNumberFormat="1" applyFont="1" applyBorder="1" applyAlignment="1">
      <alignment horizontal="center"/>
    </xf>
    <xf numFmtId="43" fontId="46" fillId="0" borderId="1" xfId="1" applyFont="1" applyBorder="1" applyAlignment="1">
      <alignment horizontal="center" vertical="center" wrapText="1"/>
    </xf>
    <xf numFmtId="4" fontId="41" fillId="3" borderId="6" xfId="0" applyNumberFormat="1" applyFont="1" applyFill="1" applyBorder="1" applyAlignment="1">
      <alignment horizontal="center" vertical="center" wrapText="1"/>
    </xf>
    <xf numFmtId="4" fontId="50" fillId="0" borderId="0" xfId="0" applyNumberFormat="1" applyFont="1" applyAlignment="1">
      <alignment horizontal="center" vertical="center" wrapText="1"/>
    </xf>
    <xf numFmtId="0" fontId="49" fillId="0" borderId="0" xfId="0" applyFont="1" applyAlignment="1">
      <alignment horizontal="center" vertical="center" wrapText="1"/>
    </xf>
    <xf numFmtId="4" fontId="50" fillId="2" borderId="10" xfId="0" applyNumberFormat="1" applyFont="1" applyFill="1" applyBorder="1" applyAlignment="1">
      <alignment horizontal="center" vertical="center" wrapText="1"/>
    </xf>
    <xf numFmtId="43" fontId="45" fillId="0" borderId="0" xfId="1" applyFont="1" applyFill="1" applyBorder="1" applyAlignment="1">
      <alignment horizontal="center" vertical="center" wrapText="1"/>
    </xf>
    <xf numFmtId="174" fontId="46" fillId="0" borderId="0" xfId="0" applyNumberFormat="1" applyFont="1" applyAlignment="1">
      <alignment horizontal="center" vertical="center" wrapText="1"/>
    </xf>
    <xf numFmtId="4" fontId="48" fillId="0" borderId="0" xfId="0" applyNumberFormat="1" applyFont="1" applyAlignment="1">
      <alignment horizontal="center" vertical="center" wrapText="1"/>
    </xf>
    <xf numFmtId="4" fontId="33" fillId="0" borderId="0" xfId="0" applyNumberFormat="1" applyFont="1" applyAlignment="1">
      <alignment horizontal="center"/>
    </xf>
    <xf numFmtId="171" fontId="33" fillId="0" borderId="0" xfId="1" applyNumberFormat="1" applyFont="1"/>
    <xf numFmtId="180" fontId="33" fillId="0" borderId="0" xfId="0" applyNumberFormat="1" applyFont="1"/>
    <xf numFmtId="43" fontId="33" fillId="0" borderId="1" xfId="1" quotePrefix="1" applyFont="1" applyBorder="1"/>
    <xf numFmtId="166" fontId="7" fillId="0" borderId="1" xfId="3" applyNumberFormat="1" applyFont="1" applyBorder="1" applyAlignment="1">
      <alignment horizontal="center" vertical="center"/>
    </xf>
    <xf numFmtId="10" fontId="22" fillId="0" borderId="1" xfId="3" quotePrefix="1" applyNumberFormat="1" applyFont="1" applyFill="1" applyBorder="1" applyAlignment="1">
      <alignment horizontal="center" vertical="center"/>
    </xf>
    <xf numFmtId="10" fontId="7" fillId="0" borderId="1" xfId="3" quotePrefix="1" applyNumberFormat="1" applyFont="1" applyFill="1" applyBorder="1" applyAlignment="1">
      <alignment horizontal="center" vertical="center"/>
    </xf>
    <xf numFmtId="166" fontId="22" fillId="0" borderId="1" xfId="3" quotePrefix="1" applyNumberFormat="1" applyFont="1" applyFill="1" applyBorder="1" applyAlignment="1">
      <alignment horizontal="center" vertical="center"/>
    </xf>
    <xf numFmtId="166" fontId="7" fillId="0" borderId="1" xfId="3" quotePrefix="1" applyNumberFormat="1" applyFont="1" applyFill="1" applyBorder="1" applyAlignment="1">
      <alignment horizontal="center" vertical="center"/>
    </xf>
    <xf numFmtId="4" fontId="24" fillId="0" borderId="1" xfId="0" quotePrefix="1" applyNumberFormat="1" applyFont="1" applyBorder="1" applyAlignment="1">
      <alignment horizontal="center" vertical="center"/>
    </xf>
    <xf numFmtId="43" fontId="45" fillId="0" borderId="9" xfId="1" applyFont="1" applyBorder="1" applyAlignment="1">
      <alignment horizontal="center" vertical="center" wrapText="1"/>
    </xf>
    <xf numFmtId="174" fontId="46" fillId="0" borderId="9" xfId="0" applyNumberFormat="1" applyFont="1" applyBorder="1" applyAlignment="1">
      <alignment horizontal="center" vertical="center" wrapText="1"/>
    </xf>
    <xf numFmtId="43" fontId="25" fillId="0" borderId="9" xfId="1" applyFont="1" applyBorder="1"/>
    <xf numFmtId="43" fontId="45" fillId="0" borderId="0" xfId="1" applyFont="1" applyBorder="1" applyAlignment="1">
      <alignment horizontal="center" vertical="center" wrapText="1"/>
    </xf>
    <xf numFmtId="4" fontId="45" fillId="0" borderId="0" xfId="0" applyNumberFormat="1" applyFont="1" applyAlignment="1">
      <alignment horizontal="center" vertical="center" wrapText="1"/>
    </xf>
    <xf numFmtId="4" fontId="41" fillId="0" borderId="0" xfId="0" applyNumberFormat="1" applyFont="1" applyAlignment="1">
      <alignment horizontal="center"/>
    </xf>
    <xf numFmtId="0" fontId="33" fillId="0" borderId="0" xfId="0" applyFont="1" applyAlignment="1">
      <alignment horizontal="center" wrapText="1"/>
    </xf>
    <xf numFmtId="0" fontId="33" fillId="0" borderId="15" xfId="0" applyFont="1" applyBorder="1" applyAlignment="1">
      <alignment horizontal="center" vertical="center" wrapText="1"/>
    </xf>
    <xf numFmtId="10" fontId="7" fillId="0" borderId="1" xfId="3" applyNumberFormat="1" applyFont="1" applyFill="1" applyBorder="1" applyAlignment="1">
      <alignment horizontal="center" vertical="center"/>
    </xf>
    <xf numFmtId="179" fontId="33" fillId="0" borderId="1" xfId="0" applyNumberFormat="1" applyFont="1" applyBorder="1" applyAlignment="1">
      <alignment horizontal="center"/>
    </xf>
    <xf numFmtId="0" fontId="7" fillId="0" borderId="0" xfId="0" applyFont="1" applyAlignment="1">
      <alignment horizontal="center" vertical="center" wrapText="1"/>
    </xf>
    <xf numFmtId="0" fontId="28" fillId="0" borderId="0" xfId="0" applyFont="1" applyAlignment="1">
      <alignment horizontal="center" vertical="center"/>
    </xf>
    <xf numFmtId="0" fontId="31" fillId="0" borderId="0" xfId="0" applyFont="1" applyAlignment="1">
      <alignment horizontal="left"/>
    </xf>
    <xf numFmtId="0" fontId="34" fillId="0" borderId="0" xfId="0" applyFont="1"/>
    <xf numFmtId="166" fontId="34" fillId="0" borderId="0" xfId="0" applyNumberFormat="1" applyFont="1"/>
    <xf numFmtId="0" fontId="34" fillId="0" borderId="0" xfId="0" applyFont="1" applyAlignment="1">
      <alignment horizontal="center"/>
    </xf>
    <xf numFmtId="10" fontId="34" fillId="0" borderId="0" xfId="0" applyNumberFormat="1" applyFont="1" applyAlignment="1">
      <alignment horizontal="center"/>
    </xf>
    <xf numFmtId="43" fontId="34" fillId="0" borderId="1" xfId="1" applyFont="1" applyBorder="1" applyAlignment="1">
      <alignment horizontal="center"/>
    </xf>
    <xf numFmtId="9" fontId="34" fillId="0" borderId="1" xfId="3" applyFont="1" applyBorder="1"/>
    <xf numFmtId="10" fontId="34" fillId="0" borderId="1" xfId="3" applyNumberFormat="1" applyFont="1" applyBorder="1" applyAlignment="1">
      <alignment horizontal="center"/>
    </xf>
    <xf numFmtId="10" fontId="34" fillId="0" borderId="1" xfId="3" applyNumberFormat="1" applyFont="1" applyBorder="1"/>
    <xf numFmtId="0" fontId="34" fillId="0" borderId="1" xfId="0" applyFont="1" applyBorder="1" applyAlignment="1">
      <alignment horizontal="center"/>
    </xf>
    <xf numFmtId="4" fontId="34" fillId="0" borderId="1" xfId="0" applyNumberFormat="1" applyFont="1" applyBorder="1" applyAlignment="1">
      <alignment horizontal="center"/>
    </xf>
    <xf numFmtId="10" fontId="34" fillId="0" borderId="1" xfId="0" applyNumberFormat="1" applyFont="1" applyBorder="1" applyAlignment="1">
      <alignment horizontal="center"/>
    </xf>
    <xf numFmtId="4" fontId="34" fillId="0" borderId="0" xfId="0" applyNumberFormat="1" applyFont="1"/>
    <xf numFmtId="10" fontId="34" fillId="0" borderId="0" xfId="0" applyNumberFormat="1" applyFont="1"/>
    <xf numFmtId="9" fontId="34" fillId="0" borderId="0" xfId="3" applyFont="1" applyBorder="1"/>
    <xf numFmtId="10" fontId="34" fillId="0" borderId="0" xfId="3" applyNumberFormat="1" applyFont="1" applyBorder="1"/>
    <xf numFmtId="0" fontId="33" fillId="0" borderId="10" xfId="0" applyFont="1" applyBorder="1"/>
    <xf numFmtId="10" fontId="3" fillId="0" borderId="9" xfId="3" applyNumberFormat="1" applyFont="1" applyBorder="1" applyAlignment="1">
      <alignment horizontal="center" vertical="center"/>
    </xf>
    <xf numFmtId="10" fontId="3" fillId="0" borderId="1" xfId="3" applyNumberFormat="1" applyFont="1" applyBorder="1" applyAlignment="1">
      <alignment horizontal="center" vertical="center"/>
    </xf>
    <xf numFmtId="0" fontId="39" fillId="0" borderId="0" xfId="0" applyFont="1"/>
    <xf numFmtId="169" fontId="33" fillId="2" borderId="0" xfId="0" applyNumberFormat="1" applyFont="1" applyFill="1" applyAlignment="1">
      <alignment horizontal="right"/>
    </xf>
    <xf numFmtId="167" fontId="3" fillId="0" borderId="9" xfId="3" applyNumberFormat="1" applyFont="1" applyBorder="1" applyAlignment="1">
      <alignment horizontal="center" vertical="center"/>
    </xf>
    <xf numFmtId="166" fontId="3" fillId="0" borderId="9" xfId="3" applyNumberFormat="1" applyFont="1" applyBorder="1" applyAlignment="1">
      <alignment horizontal="center" vertical="center"/>
    </xf>
    <xf numFmtId="43" fontId="39" fillId="0" borderId="0" xfId="1" applyFont="1" applyFill="1" applyBorder="1" applyAlignment="1">
      <alignment horizontal="center"/>
    </xf>
    <xf numFmtId="0" fontId="39" fillId="0" borderId="0" xfId="0" applyFont="1" applyAlignment="1">
      <alignment horizontal="center" vertical="center"/>
    </xf>
    <xf numFmtId="169" fontId="33" fillId="0" borderId="1" xfId="0" applyNumberFormat="1" applyFont="1" applyBorder="1" applyAlignment="1">
      <alignment horizontal="right" vertical="center"/>
    </xf>
    <xf numFmtId="2" fontId="39" fillId="0" borderId="1" xfId="0" applyNumberFormat="1" applyFont="1" applyBorder="1" applyAlignment="1">
      <alignment horizontal="center" vertical="center"/>
    </xf>
    <xf numFmtId="43" fontId="39" fillId="0" borderId="0" xfId="1" applyFont="1" applyBorder="1" applyAlignment="1">
      <alignment horizontal="center"/>
    </xf>
    <xf numFmtId="43" fontId="3" fillId="0" borderId="1" xfId="1" applyFont="1" applyBorder="1" applyAlignment="1">
      <alignment horizontal="center" vertical="center"/>
    </xf>
    <xf numFmtId="169" fontId="33" fillId="0" borderId="0" xfId="0" applyNumberFormat="1" applyFont="1" applyAlignment="1">
      <alignment horizontal="right"/>
    </xf>
    <xf numFmtId="0" fontId="34" fillId="0" borderId="0" xfId="0" applyFont="1" applyAlignment="1">
      <alignment horizontal="center" vertical="center" wrapText="1"/>
    </xf>
    <xf numFmtId="0" fontId="51" fillId="0" borderId="0" xfId="0" applyFont="1" applyAlignment="1">
      <alignment horizontal="center" vertical="center" wrapText="1"/>
    </xf>
    <xf numFmtId="0" fontId="3" fillId="0" borderId="1" xfId="0" applyFont="1" applyBorder="1" applyAlignment="1">
      <alignment horizontal="left" vertical="center"/>
    </xf>
    <xf numFmtId="4" fontId="7" fillId="0" borderId="1" xfId="0" applyNumberFormat="1" applyFont="1" applyBorder="1" applyAlignment="1">
      <alignment horizontal="center" vertical="center"/>
    </xf>
    <xf numFmtId="164" fontId="24" fillId="0" borderId="1" xfId="0" applyNumberFormat="1" applyFont="1" applyBorder="1" applyAlignment="1">
      <alignment horizontal="center" vertical="center"/>
    </xf>
    <xf numFmtId="43" fontId="39" fillId="0" borderId="0" xfId="1" applyFont="1" applyBorder="1" applyAlignment="1">
      <alignment horizontal="center" vertical="center" wrapText="1"/>
    </xf>
    <xf numFmtId="0" fontId="33" fillId="2" borderId="10" xfId="0" applyFont="1" applyFill="1" applyBorder="1" applyAlignment="1">
      <alignment horizontal="center"/>
    </xf>
    <xf numFmtId="0" fontId="33" fillId="2" borderId="9" xfId="0" applyFont="1" applyFill="1" applyBorder="1" applyAlignment="1">
      <alignment horizontal="center"/>
    </xf>
    <xf numFmtId="0" fontId="26" fillId="0" borderId="0" xfId="0" applyFont="1" applyAlignment="1">
      <alignment horizontal="right"/>
    </xf>
    <xf numFmtId="165" fontId="26" fillId="0" borderId="0" xfId="0" applyNumberFormat="1" applyFont="1" applyAlignment="1">
      <alignment horizontal="right"/>
    </xf>
    <xf numFmtId="4" fontId="26" fillId="0" borderId="0" xfId="0" applyNumberFormat="1" applyFont="1"/>
    <xf numFmtId="0" fontId="26" fillId="0" borderId="0" xfId="0" applyFont="1" applyAlignment="1">
      <alignment horizontal="center" vertical="center" wrapText="1"/>
    </xf>
    <xf numFmtId="0" fontId="32" fillId="0" borderId="0" xfId="0" applyFont="1"/>
    <xf numFmtId="10" fontId="26" fillId="0" borderId="0" xfId="0" applyNumberFormat="1" applyFont="1"/>
    <xf numFmtId="166" fontId="26" fillId="0" borderId="0" xfId="3" applyNumberFormat="1" applyFont="1"/>
    <xf numFmtId="0" fontId="55" fillId="0" borderId="0" xfId="0" applyFont="1" applyAlignment="1">
      <alignment horizontal="left"/>
    </xf>
    <xf numFmtId="0" fontId="55" fillId="0" borderId="0" xfId="0" applyFont="1" applyAlignment="1">
      <alignment horizontal="center"/>
    </xf>
    <xf numFmtId="165" fontId="55" fillId="0" borderId="0" xfId="0" applyNumberFormat="1" applyFont="1" applyAlignment="1">
      <alignment horizontal="center"/>
    </xf>
    <xf numFmtId="0" fontId="7" fillId="0" borderId="0" xfId="0" applyFont="1" applyAlignment="1">
      <alignment horizontal="left" vertical="center"/>
    </xf>
    <xf numFmtId="165" fontId="26" fillId="0" borderId="0" xfId="0" applyNumberFormat="1" applyFont="1"/>
    <xf numFmtId="0" fontId="32" fillId="0" borderId="0" xfId="0" applyFont="1" applyAlignment="1">
      <alignment horizontal="left"/>
    </xf>
    <xf numFmtId="0" fontId="26" fillId="0" borderId="0" xfId="0" quotePrefix="1" applyFont="1"/>
    <xf numFmtId="165" fontId="26" fillId="0" borderId="1" xfId="0" applyNumberFormat="1" applyFont="1" applyBorder="1" applyAlignment="1">
      <alignment horizontal="right"/>
    </xf>
    <xf numFmtId="4" fontId="26" fillId="0" borderId="0" xfId="0" applyNumberFormat="1" applyFont="1" applyAlignment="1">
      <alignment horizontal="center"/>
    </xf>
    <xf numFmtId="169" fontId="26" fillId="0" borderId="0" xfId="0" applyNumberFormat="1" applyFont="1" applyAlignment="1">
      <alignment horizontal="center"/>
    </xf>
    <xf numFmtId="0" fontId="26" fillId="0" borderId="11" xfId="0" applyFont="1" applyBorder="1" applyAlignment="1">
      <alignment horizontal="center" vertical="center" wrapText="1"/>
    </xf>
    <xf numFmtId="0" fontId="22" fillId="0" borderId="0" xfId="0" applyFont="1" applyAlignment="1">
      <alignment horizontal="center" vertical="center" wrapText="1"/>
    </xf>
    <xf numFmtId="0" fontId="26" fillId="0" borderId="12" xfId="0" applyFont="1" applyBorder="1" applyAlignment="1">
      <alignment horizontal="right"/>
    </xf>
    <xf numFmtId="0" fontId="32" fillId="0" borderId="11" xfId="0" applyFont="1" applyBorder="1" applyAlignment="1">
      <alignment horizontal="center" vertical="center" wrapText="1"/>
    </xf>
    <xf numFmtId="4" fontId="26" fillId="0" borderId="0" xfId="0" applyNumberFormat="1" applyFont="1" applyAlignment="1">
      <alignment horizontal="center" vertical="center" wrapText="1"/>
    </xf>
    <xf numFmtId="181" fontId="26" fillId="0" borderId="1" xfId="0" applyNumberFormat="1" applyFont="1" applyBorder="1" applyAlignment="1">
      <alignment horizontal="right"/>
    </xf>
    <xf numFmtId="4" fontId="26" fillId="0" borderId="12" xfId="0" applyNumberFormat="1" applyFont="1" applyBorder="1" applyAlignment="1">
      <alignment horizontal="right"/>
    </xf>
    <xf numFmtId="173" fontId="26" fillId="0" borderId="1" xfId="1" applyNumberFormat="1" applyFont="1" applyBorder="1" applyAlignment="1">
      <alignment horizontal="right"/>
    </xf>
    <xf numFmtId="0" fontId="32" fillId="0" borderId="11" xfId="0" quotePrefix="1" applyFont="1" applyBorder="1" applyAlignment="1">
      <alignment horizontal="center" vertical="center" wrapText="1"/>
    </xf>
    <xf numFmtId="165" fontId="26" fillId="0" borderId="12" xfId="0" applyNumberFormat="1" applyFont="1" applyBorder="1" applyAlignment="1">
      <alignment horizontal="right"/>
    </xf>
    <xf numFmtId="165" fontId="26" fillId="0" borderId="0" xfId="0" applyNumberFormat="1" applyFont="1" applyAlignment="1">
      <alignment horizontal="center" vertical="center" wrapText="1"/>
    </xf>
    <xf numFmtId="0" fontId="32" fillId="0" borderId="6" xfId="0" applyFont="1" applyBorder="1" applyAlignment="1">
      <alignment horizontal="center" vertical="center" wrapText="1"/>
    </xf>
    <xf numFmtId="165" fontId="26" fillId="0" borderId="7" xfId="0" applyNumberFormat="1" applyFont="1" applyBorder="1" applyAlignment="1">
      <alignment horizontal="center" vertical="center" wrapText="1"/>
    </xf>
    <xf numFmtId="165" fontId="26" fillId="0" borderId="7" xfId="0" applyNumberFormat="1" applyFont="1" applyBorder="1" applyAlignment="1">
      <alignment horizontal="right"/>
    </xf>
    <xf numFmtId="165" fontId="26" fillId="0" borderId="8" xfId="0" applyNumberFormat="1" applyFont="1" applyBorder="1" applyAlignment="1">
      <alignment horizontal="right"/>
    </xf>
    <xf numFmtId="0" fontId="32" fillId="0" borderId="3" xfId="0" applyFont="1" applyBorder="1" applyAlignment="1">
      <alignment horizontal="center" vertical="center" wrapText="1"/>
    </xf>
    <xf numFmtId="165" fontId="26" fillId="0" borderId="4" xfId="0" applyNumberFormat="1" applyFont="1" applyBorder="1" applyAlignment="1">
      <alignment horizontal="center" vertical="center" wrapText="1"/>
    </xf>
    <xf numFmtId="165" fontId="26" fillId="0" borderId="4" xfId="0" applyNumberFormat="1" applyFont="1" applyBorder="1" applyAlignment="1">
      <alignment horizontal="right"/>
    </xf>
    <xf numFmtId="0" fontId="26" fillId="0" borderId="5" xfId="0" applyFont="1" applyBorder="1" applyAlignment="1">
      <alignment horizontal="right"/>
    </xf>
    <xf numFmtId="165" fontId="55" fillId="0" borderId="0" xfId="0" applyNumberFormat="1" applyFont="1" applyAlignment="1">
      <alignment horizontal="right"/>
    </xf>
    <xf numFmtId="176" fontId="55" fillId="0" borderId="12" xfId="0" applyNumberFormat="1" applyFont="1" applyBorder="1" applyAlignment="1">
      <alignment horizontal="right"/>
    </xf>
    <xf numFmtId="10" fontId="26" fillId="0" borderId="0" xfId="3" applyNumberFormat="1" applyFont="1" applyAlignment="1">
      <alignment horizontal="right"/>
    </xf>
    <xf numFmtId="165" fontId="26" fillId="0" borderId="9" xfId="0" applyNumberFormat="1" applyFont="1" applyBorder="1" applyAlignment="1">
      <alignment horizontal="right"/>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4" fontId="26" fillId="0" borderId="7" xfId="0" applyNumberFormat="1" applyFont="1" applyBorder="1" applyAlignment="1">
      <alignment horizontal="right"/>
    </xf>
    <xf numFmtId="0" fontId="26" fillId="0" borderId="8" xfId="0" applyFont="1" applyBorder="1" applyAlignment="1">
      <alignment horizontal="right"/>
    </xf>
    <xf numFmtId="0" fontId="26" fillId="0" borderId="24" xfId="0" applyFont="1" applyBorder="1"/>
    <xf numFmtId="0" fontId="24" fillId="0" borderId="0" xfId="0" applyFont="1" applyAlignment="1">
      <alignment horizontal="center"/>
    </xf>
    <xf numFmtId="169" fontId="11" fillId="0" borderId="1" xfId="0" applyNumberFormat="1" applyFont="1" applyBorder="1" applyAlignment="1">
      <alignment horizontal="center" vertical="center" wrapText="1"/>
    </xf>
    <xf numFmtId="0" fontId="52" fillId="0" borderId="0" xfId="0" applyFont="1" applyAlignment="1">
      <alignment horizontal="center" vertical="center" wrapText="1"/>
    </xf>
    <xf numFmtId="170" fontId="12" fillId="0" borderId="9" xfId="1" applyNumberFormat="1" applyFont="1" applyBorder="1" applyAlignment="1">
      <alignment horizontal="right" vertical="center"/>
    </xf>
    <xf numFmtId="167" fontId="3" fillId="0" borderId="9" xfId="3" applyNumberFormat="1" applyFont="1" applyBorder="1" applyAlignment="1">
      <alignment horizontal="right" vertical="center"/>
    </xf>
    <xf numFmtId="165" fontId="33" fillId="2" borderId="0" xfId="0" applyNumberFormat="1" applyFont="1" applyFill="1" applyAlignment="1">
      <alignment horizontal="right"/>
    </xf>
    <xf numFmtId="166" fontId="3" fillId="0" borderId="9" xfId="3" applyNumberFormat="1" applyFont="1" applyFill="1" applyBorder="1" applyAlignment="1">
      <alignment horizontal="center" vertical="center"/>
    </xf>
    <xf numFmtId="166" fontId="3" fillId="0" borderId="1" xfId="3" applyNumberFormat="1" applyFont="1" applyFill="1" applyBorder="1" applyAlignment="1">
      <alignment horizontal="center" vertical="center"/>
    </xf>
    <xf numFmtId="10" fontId="3" fillId="0" borderId="9" xfId="3" applyNumberFormat="1" applyFont="1" applyBorder="1" applyAlignment="1">
      <alignment horizontal="right" vertical="center"/>
    </xf>
    <xf numFmtId="43" fontId="3" fillId="0" borderId="9" xfId="1" applyFont="1" applyBorder="1" applyAlignment="1">
      <alignment horizontal="right" vertical="center"/>
    </xf>
    <xf numFmtId="2" fontId="33" fillId="0" borderId="9" xfId="0" applyNumberFormat="1" applyFont="1" applyBorder="1" applyAlignment="1">
      <alignment horizontal="right" vertical="center"/>
    </xf>
    <xf numFmtId="9" fontId="3" fillId="0" borderId="1" xfId="3" applyFont="1" applyBorder="1" applyAlignment="1">
      <alignment horizontal="right" vertical="center"/>
    </xf>
    <xf numFmtId="2" fontId="33" fillId="0" borderId="1" xfId="0" applyNumberFormat="1" applyFont="1" applyBorder="1" applyAlignment="1">
      <alignment horizontal="center" vertical="center"/>
    </xf>
    <xf numFmtId="43" fontId="3" fillId="0" borderId="1" xfId="1" applyFont="1" applyBorder="1" applyAlignment="1">
      <alignment horizontal="right" vertical="center"/>
    </xf>
    <xf numFmtId="2" fontId="3" fillId="0" borderId="0" xfId="0" applyNumberFormat="1" applyFont="1" applyAlignment="1">
      <alignment horizontal="right"/>
    </xf>
    <xf numFmtId="2" fontId="39" fillId="0" borderId="1" xfId="0" applyNumberFormat="1" applyFont="1" applyBorder="1" applyAlignment="1">
      <alignment horizontal="right" vertical="center" wrapText="1"/>
    </xf>
    <xf numFmtId="2" fontId="39" fillId="0" borderId="0" xfId="0" applyNumberFormat="1" applyFont="1" applyAlignment="1">
      <alignment horizontal="right"/>
    </xf>
    <xf numFmtId="165" fontId="33" fillId="0" borderId="0" xfId="0" applyNumberFormat="1" applyFont="1" applyAlignment="1">
      <alignment horizontal="right"/>
    </xf>
    <xf numFmtId="0" fontId="34" fillId="0" borderId="0" xfId="0" applyFont="1" applyAlignment="1">
      <alignment horizontal="right"/>
    </xf>
    <xf numFmtId="43" fontId="39" fillId="0" borderId="0" xfId="1" quotePrefix="1" applyFont="1" applyBorder="1" applyAlignment="1">
      <alignment horizontal="right"/>
    </xf>
    <xf numFmtId="0" fontId="33" fillId="0" borderId="0" xfId="0" applyFont="1" applyAlignment="1">
      <alignment horizontal="right"/>
    </xf>
    <xf numFmtId="0" fontId="33" fillId="0" borderId="1" xfId="0" applyFont="1" applyBorder="1" applyAlignment="1">
      <alignment horizontal="right" vertical="center" wrapText="1"/>
    </xf>
    <xf numFmtId="165" fontId="0" fillId="0" borderId="0" xfId="0" applyNumberFormat="1" applyAlignment="1">
      <alignment horizontal="right"/>
    </xf>
    <xf numFmtId="0" fontId="40" fillId="0" borderId="1" xfId="0" applyFont="1" applyBorder="1" applyAlignment="1">
      <alignment horizontal="center" vertical="center" wrapText="1"/>
    </xf>
    <xf numFmtId="10" fontId="34" fillId="0" borderId="1" xfId="0" applyNumberFormat="1" applyFont="1" applyBorder="1" applyAlignment="1">
      <alignment horizontal="center" vertical="center" wrapText="1"/>
    </xf>
    <xf numFmtId="10" fontId="34" fillId="0" borderId="1" xfId="1" applyNumberFormat="1" applyFont="1" applyBorder="1" applyAlignment="1">
      <alignment horizontal="center" vertical="center" wrapText="1"/>
    </xf>
    <xf numFmtId="165" fontId="34" fillId="0" borderId="0" xfId="0" applyNumberFormat="1" applyFont="1" applyAlignment="1">
      <alignment horizontal="center" vertical="center" wrapText="1"/>
    </xf>
    <xf numFmtId="165" fontId="40" fillId="0" borderId="1" xfId="0" applyNumberFormat="1" applyFont="1" applyBorder="1" applyAlignment="1">
      <alignment horizontal="center" vertical="center" wrapText="1"/>
    </xf>
    <xf numFmtId="10" fontId="40" fillId="0" borderId="1" xfId="0" applyNumberFormat="1" applyFont="1" applyBorder="1" applyAlignment="1">
      <alignment horizontal="center" vertical="center" wrapText="1"/>
    </xf>
    <xf numFmtId="165" fontId="40" fillId="0" borderId="0" xfId="0" applyNumberFormat="1" applyFont="1" applyAlignment="1">
      <alignment horizontal="center" vertical="center" wrapText="1"/>
    </xf>
    <xf numFmtId="10" fontId="40" fillId="0" borderId="0" xfId="0" applyNumberFormat="1" applyFont="1" applyAlignment="1">
      <alignment horizontal="center" vertical="center" wrapText="1"/>
    </xf>
    <xf numFmtId="165" fontId="34" fillId="0" borderId="1" xfId="0" applyNumberFormat="1" applyFont="1" applyBorder="1" applyAlignment="1">
      <alignment horizontal="center" vertical="center" wrapText="1"/>
    </xf>
    <xf numFmtId="0" fontId="58" fillId="0" borderId="1" xfId="0" applyFont="1" applyBorder="1" applyAlignment="1">
      <alignment horizontal="center" vertical="center" wrapText="1"/>
    </xf>
    <xf numFmtId="0" fontId="26" fillId="0" borderId="1" xfId="0" applyFont="1" applyBorder="1" applyAlignment="1">
      <alignment horizontal="center" vertical="center"/>
    </xf>
    <xf numFmtId="165" fontId="26" fillId="0" borderId="1" xfId="0" applyNumberFormat="1" applyFont="1" applyBorder="1" applyAlignment="1">
      <alignment horizontal="center" vertical="center"/>
    </xf>
    <xf numFmtId="0" fontId="26" fillId="0" borderId="2" xfId="0" applyFont="1" applyBorder="1" applyAlignment="1">
      <alignment horizontal="center" vertical="center"/>
    </xf>
    <xf numFmtId="0" fontId="34" fillId="0" borderId="1" xfId="0" applyFont="1" applyBorder="1" applyAlignment="1">
      <alignment horizontal="center" vertical="center"/>
    </xf>
    <xf numFmtId="0" fontId="33" fillId="0" borderId="1" xfId="0" applyFont="1" applyBorder="1" applyAlignment="1">
      <alignment horizontal="center"/>
    </xf>
    <xf numFmtId="10" fontId="39" fillId="0" borderId="1" xfId="3" applyNumberFormat="1" applyFont="1" applyBorder="1" applyAlignment="1">
      <alignment horizontal="center" vertical="center"/>
    </xf>
    <xf numFmtId="43" fontId="39" fillId="0" borderId="1" xfId="1" quotePrefix="1" applyFont="1" applyBorder="1" applyAlignment="1">
      <alignment horizontal="center" vertical="center"/>
    </xf>
    <xf numFmtId="0" fontId="59" fillId="0" borderId="0" xfId="2" applyFont="1" applyAlignment="1">
      <alignment horizontal="right"/>
    </xf>
    <xf numFmtId="0" fontId="16" fillId="0" borderId="1" xfId="2" applyFont="1" applyBorder="1" applyAlignment="1">
      <alignment horizontal="left" vertical="center" wrapText="1"/>
    </xf>
    <xf numFmtId="0" fontId="16" fillId="0" borderId="0" xfId="2" applyFont="1" applyAlignment="1">
      <alignment horizontal="right"/>
    </xf>
    <xf numFmtId="0" fontId="16" fillId="0" borderId="1" xfId="2" applyFont="1" applyBorder="1" applyAlignment="1">
      <alignment horizontal="left"/>
    </xf>
    <xf numFmtId="3" fontId="16" fillId="0" borderId="0" xfId="2" applyNumberFormat="1" applyFont="1" applyAlignment="1">
      <alignment horizontal="right"/>
    </xf>
    <xf numFmtId="0" fontId="16" fillId="0" borderId="2" xfId="2" applyFont="1" applyBorder="1" applyAlignment="1">
      <alignment horizontal="left"/>
    </xf>
    <xf numFmtId="2" fontId="16" fillId="0" borderId="16" xfId="2" quotePrefix="1" applyNumberFormat="1" applyFont="1" applyBorder="1" applyAlignment="1">
      <alignment horizontal="center" vertical="center" wrapText="1"/>
    </xf>
    <xf numFmtId="0" fontId="16" fillId="0" borderId="1" xfId="0" applyFont="1" applyBorder="1" applyAlignment="1">
      <alignment horizontal="center"/>
    </xf>
    <xf numFmtId="0" fontId="16" fillId="0" borderId="1" xfId="2" applyFont="1" applyBorder="1" applyAlignment="1">
      <alignment horizontal="center"/>
    </xf>
    <xf numFmtId="0" fontId="16" fillId="0" borderId="1" xfId="2" applyFont="1" applyBorder="1"/>
    <xf numFmtId="0" fontId="16" fillId="0" borderId="11" xfId="2" applyFont="1" applyBorder="1" applyAlignment="1">
      <alignment horizontal="center" vertical="center" wrapText="1"/>
    </xf>
    <xf numFmtId="164" fontId="16" fillId="0" borderId="18" xfId="2" applyNumberFormat="1" applyFont="1" applyBorder="1" applyAlignment="1">
      <alignment horizontal="center" vertical="center" wrapText="1"/>
    </xf>
    <xf numFmtId="0" fontId="60" fillId="0" borderId="1" xfId="2" applyFont="1" applyBorder="1" applyAlignment="1">
      <alignment horizontal="center"/>
    </xf>
    <xf numFmtId="0" fontId="16" fillId="0" borderId="1" xfId="2" applyFont="1" applyBorder="1" applyAlignment="1">
      <alignment horizontal="center" vertical="center" wrapText="1"/>
    </xf>
    <xf numFmtId="14" fontId="16" fillId="0" borderId="0" xfId="0" applyNumberFormat="1" applyFont="1" applyAlignment="1">
      <alignment horizontal="right"/>
    </xf>
    <xf numFmtId="0" fontId="16" fillId="0" borderId="1" xfId="2" applyFont="1" applyBorder="1" applyAlignment="1">
      <alignment horizontal="right"/>
    </xf>
    <xf numFmtId="164" fontId="16" fillId="0" borderId="1" xfId="2" applyNumberFormat="1" applyFont="1" applyBorder="1" applyAlignment="1">
      <alignment horizontal="center" vertical="center" wrapText="1"/>
    </xf>
    <xf numFmtId="2" fontId="16" fillId="0" borderId="1" xfId="2" applyNumberFormat="1" applyFont="1" applyBorder="1" applyAlignment="1">
      <alignment horizontal="center" vertical="center" wrapText="1"/>
    </xf>
    <xf numFmtId="4" fontId="16" fillId="0" borderId="1" xfId="2" applyNumberFormat="1" applyFont="1" applyBorder="1" applyAlignment="1">
      <alignment horizontal="center" vertical="center" wrapText="1"/>
    </xf>
    <xf numFmtId="0" fontId="16" fillId="0" borderId="1" xfId="2" applyFont="1" applyBorder="1" applyAlignment="1">
      <alignment horizontal="right" vertical="center" wrapText="1"/>
    </xf>
    <xf numFmtId="0" fontId="61" fillId="0" borderId="1" xfId="2" applyFont="1" applyBorder="1" applyAlignment="1">
      <alignment horizontal="center" vertical="center" wrapText="1"/>
    </xf>
    <xf numFmtId="0" fontId="61" fillId="0" borderId="1" xfId="2" applyFont="1" applyBorder="1" applyAlignment="1">
      <alignment horizontal="center"/>
    </xf>
    <xf numFmtId="4" fontId="16" fillId="0" borderId="1" xfId="2" applyNumberFormat="1" applyFont="1" applyBorder="1"/>
    <xf numFmtId="4" fontId="16" fillId="0" borderId="2" xfId="2" applyNumberFormat="1" applyFont="1" applyBorder="1" applyAlignment="1">
      <alignment horizontal="center" vertical="center" wrapText="1"/>
    </xf>
    <xf numFmtId="4" fontId="31" fillId="0" borderId="1" xfId="0" applyNumberFormat="1" applyFont="1" applyBorder="1" applyAlignment="1">
      <alignment horizontal="center" vertical="center"/>
    </xf>
    <xf numFmtId="10" fontId="31" fillId="0" borderId="1" xfId="3" applyNumberFormat="1" applyFont="1" applyFill="1" applyBorder="1" applyAlignment="1">
      <alignment horizontal="center" vertical="center"/>
    </xf>
    <xf numFmtId="4" fontId="31" fillId="0" borderId="10" xfId="0" quotePrefix="1" applyNumberFormat="1" applyFont="1" applyBorder="1" applyAlignment="1">
      <alignment horizontal="center" vertical="center"/>
    </xf>
    <xf numFmtId="4" fontId="3" fillId="0" borderId="1" xfId="0" quotePrefix="1" applyNumberFormat="1" applyFont="1" applyBorder="1" applyAlignment="1">
      <alignment horizontal="center" vertical="center"/>
    </xf>
    <xf numFmtId="0" fontId="39" fillId="0" borderId="1" xfId="0" applyFont="1" applyBorder="1" applyAlignment="1">
      <alignment horizontal="center" vertical="center"/>
    </xf>
    <xf numFmtId="4" fontId="3" fillId="0" borderId="1" xfId="0" applyNumberFormat="1" applyFont="1" applyBorder="1" applyAlignment="1">
      <alignment horizontal="center" vertical="center"/>
    </xf>
    <xf numFmtId="4" fontId="31" fillId="0" borderId="1" xfId="0" applyNumberFormat="1" applyFont="1" applyBorder="1" applyAlignment="1">
      <alignment horizontal="center" vertical="center" wrapText="1"/>
    </xf>
    <xf numFmtId="4" fontId="63" fillId="0" borderId="1" xfId="0" applyNumberFormat="1" applyFont="1" applyBorder="1" applyAlignment="1">
      <alignment horizontal="center" vertical="center"/>
    </xf>
    <xf numFmtId="10" fontId="3" fillId="0" borderId="1" xfId="3" quotePrefix="1" applyNumberFormat="1" applyFont="1" applyFill="1" applyBorder="1" applyAlignment="1">
      <alignment horizontal="center" vertical="center"/>
    </xf>
    <xf numFmtId="4" fontId="31" fillId="0" borderId="1" xfId="0" quotePrefix="1" applyNumberFormat="1" applyFont="1" applyBorder="1" applyAlignment="1">
      <alignment horizontal="center" vertical="center"/>
    </xf>
    <xf numFmtId="10" fontId="3" fillId="0" borderId="1" xfId="3" applyNumberFormat="1" applyFont="1" applyFill="1" applyBorder="1" applyAlignment="1">
      <alignment horizontal="center" vertical="center"/>
    </xf>
    <xf numFmtId="165" fontId="39" fillId="0" borderId="1" xfId="0" applyNumberFormat="1" applyFont="1" applyBorder="1" applyAlignment="1">
      <alignment horizontal="center" vertical="center"/>
    </xf>
    <xf numFmtId="10" fontId="3" fillId="0" borderId="10" xfId="3" applyNumberFormat="1" applyFont="1" applyFill="1" applyBorder="1" applyAlignment="1">
      <alignment horizontal="center" vertical="center"/>
    </xf>
    <xf numFmtId="182" fontId="3" fillId="0" borderId="1" xfId="3" applyNumberFormat="1" applyFont="1" applyFill="1" applyBorder="1" applyAlignment="1">
      <alignment horizontal="center" vertical="center"/>
    </xf>
    <xf numFmtId="4" fontId="31" fillId="0" borderId="10" xfId="0" applyNumberFormat="1" applyFont="1" applyBorder="1" applyAlignment="1">
      <alignment horizontal="center" vertical="center"/>
    </xf>
    <xf numFmtId="0" fontId="39" fillId="0" borderId="2" xfId="0" applyFont="1" applyBorder="1" applyAlignment="1">
      <alignment horizontal="center" vertical="center"/>
    </xf>
    <xf numFmtId="165" fontId="39" fillId="0" borderId="2" xfId="0" applyNumberFormat="1" applyFont="1" applyBorder="1" applyAlignment="1">
      <alignment horizontal="center" vertical="center"/>
    </xf>
    <xf numFmtId="165" fontId="39" fillId="0" borderId="3" xfId="0" applyNumberFormat="1" applyFont="1" applyBorder="1" applyAlignment="1">
      <alignment horizontal="center" vertical="center"/>
    </xf>
    <xf numFmtId="10" fontId="31" fillId="0" borderId="1" xfId="3" applyNumberFormat="1" applyFont="1" applyBorder="1" applyAlignment="1">
      <alignment horizontal="center" vertical="center"/>
    </xf>
    <xf numFmtId="4" fontId="31" fillId="0" borderId="13" xfId="0" applyNumberFormat="1" applyFont="1" applyBorder="1" applyAlignment="1">
      <alignment horizontal="center" vertical="center"/>
    </xf>
    <xf numFmtId="4" fontId="31" fillId="0" borderId="6" xfId="0" applyNumberFormat="1" applyFont="1" applyBorder="1" applyAlignment="1">
      <alignment horizontal="center" vertical="center"/>
    </xf>
    <xf numFmtId="168" fontId="31" fillId="0" borderId="1" xfId="0" applyNumberFormat="1" applyFont="1" applyBorder="1" applyAlignment="1">
      <alignment horizontal="center" vertical="center"/>
    </xf>
    <xf numFmtId="165" fontId="39" fillId="0" borderId="0" xfId="0" applyNumberFormat="1" applyFont="1" applyAlignment="1">
      <alignment horizontal="center" vertical="center"/>
    </xf>
    <xf numFmtId="4" fontId="39" fillId="0" borderId="1" xfId="0" applyNumberFormat="1" applyFont="1" applyBorder="1" applyAlignment="1">
      <alignment horizontal="center" vertical="center"/>
    </xf>
    <xf numFmtId="4" fontId="51" fillId="0" borderId="10" xfId="0" applyNumberFormat="1" applyFont="1" applyBorder="1" applyAlignment="1">
      <alignment horizontal="center" vertical="center"/>
    </xf>
    <xf numFmtId="4" fontId="51" fillId="0" borderId="1" xfId="0" applyNumberFormat="1" applyFont="1" applyBorder="1" applyAlignment="1">
      <alignment horizontal="center" vertical="center"/>
    </xf>
    <xf numFmtId="0" fontId="42" fillId="0" borderId="13" xfId="0" applyFont="1" applyBorder="1" applyAlignment="1">
      <alignment horizontal="center" vertical="center" wrapText="1"/>
    </xf>
    <xf numFmtId="0" fontId="42" fillId="0" borderId="1" xfId="0" quotePrefix="1" applyFont="1" applyBorder="1" applyAlignment="1">
      <alignment horizontal="center" vertical="center" wrapText="1"/>
    </xf>
    <xf numFmtId="0" fontId="42" fillId="0" borderId="1" xfId="0" applyFont="1" applyBorder="1" applyAlignment="1">
      <alignment horizontal="right"/>
    </xf>
    <xf numFmtId="0" fontId="41" fillId="0" borderId="0" xfId="0" applyFont="1" applyAlignment="1">
      <alignment horizontal="center"/>
    </xf>
    <xf numFmtId="0" fontId="42" fillId="0" borderId="1" xfId="0" applyFont="1" applyBorder="1" applyAlignment="1">
      <alignment horizontal="left" vertical="center"/>
    </xf>
    <xf numFmtId="0" fontId="65" fillId="0" borderId="1" xfId="0" applyFont="1" applyBorder="1" applyAlignment="1">
      <alignment horizontal="left" vertical="center" wrapText="1"/>
    </xf>
    <xf numFmtId="0" fontId="42" fillId="0" borderId="1" xfId="0" applyFont="1" applyBorder="1" applyAlignment="1">
      <alignment horizontal="left" vertical="center" wrapText="1"/>
    </xf>
    <xf numFmtId="4" fontId="41" fillId="0" borderId="1" xfId="0" applyNumberFormat="1" applyFont="1" applyBorder="1" applyAlignment="1">
      <alignment horizontal="center" vertical="center" wrapText="1"/>
    </xf>
    <xf numFmtId="0" fontId="31" fillId="0" borderId="1" xfId="0" applyFont="1" applyBorder="1" applyAlignment="1">
      <alignment horizontal="center" vertical="center" wrapText="1"/>
    </xf>
    <xf numFmtId="165" fontId="31" fillId="0" borderId="1" xfId="0" applyNumberFormat="1" applyFont="1" applyBorder="1" applyAlignment="1">
      <alignment horizontal="center" vertical="center" wrapText="1"/>
    </xf>
    <xf numFmtId="14" fontId="17" fillId="0" borderId="1" xfId="2" applyNumberFormat="1" applyFont="1" applyBorder="1" applyAlignment="1">
      <alignment horizontal="center"/>
    </xf>
    <xf numFmtId="14" fontId="39" fillId="0" borderId="1" xfId="0" applyNumberFormat="1" applyFont="1" applyBorder="1" applyAlignment="1">
      <alignment horizontal="center" vertical="center" wrapText="1"/>
    </xf>
    <xf numFmtId="0" fontId="33" fillId="0" borderId="8" xfId="0" applyFont="1" applyBorder="1" applyAlignment="1">
      <alignment horizontal="center" vertical="center" wrapText="1"/>
    </xf>
    <xf numFmtId="165" fontId="30" fillId="0" borderId="13" xfId="0" applyNumberFormat="1" applyFont="1" applyBorder="1" applyAlignment="1">
      <alignment horizontal="center" vertical="center" wrapText="1"/>
    </xf>
    <xf numFmtId="0" fontId="30" fillId="0" borderId="13" xfId="0" applyFont="1" applyBorder="1" applyAlignment="1">
      <alignment horizontal="center" vertical="center" wrapText="1"/>
    </xf>
    <xf numFmtId="0" fontId="42" fillId="0" borderId="0" xfId="0" applyFont="1" applyAlignment="1">
      <alignment horizontal="center" vertical="center" wrapText="1"/>
    </xf>
    <xf numFmtId="0" fontId="42" fillId="0" borderId="0" xfId="0" applyFont="1" applyAlignment="1">
      <alignment horizontal="right"/>
    </xf>
    <xf numFmtId="0" fontId="42" fillId="0" borderId="1" xfId="0" applyFont="1" applyBorder="1" applyAlignment="1">
      <alignment vertical="center"/>
    </xf>
    <xf numFmtId="0" fontId="65" fillId="0" borderId="1" xfId="0" applyFont="1" applyBorder="1" applyAlignment="1">
      <alignment vertical="center" wrapText="1"/>
    </xf>
    <xf numFmtId="0" fontId="42" fillId="0" borderId="1" xfId="0" applyFont="1" applyBorder="1" applyAlignment="1">
      <alignment vertical="center" wrapText="1"/>
    </xf>
    <xf numFmtId="166" fontId="46" fillId="0" borderId="1" xfId="3" applyNumberFormat="1" applyFont="1" applyBorder="1" applyAlignment="1">
      <alignment vertical="center" wrapText="1"/>
    </xf>
    <xf numFmtId="0" fontId="33" fillId="0" borderId="1" xfId="0" applyFont="1" applyBorder="1"/>
    <xf numFmtId="43" fontId="49" fillId="0" borderId="1" xfId="1" applyFont="1" applyBorder="1" applyAlignment="1">
      <alignment horizontal="center" vertical="center" wrapText="1"/>
    </xf>
    <xf numFmtId="4" fontId="50" fillId="0" borderId="1" xfId="0" applyNumberFormat="1" applyFont="1" applyBorder="1" applyAlignment="1">
      <alignment horizontal="center" vertical="center" wrapText="1"/>
    </xf>
    <xf numFmtId="4" fontId="49" fillId="2" borderId="1" xfId="0" applyNumberFormat="1" applyFont="1" applyFill="1" applyBorder="1" applyAlignment="1">
      <alignment horizontal="center" vertical="center" wrapText="1"/>
    </xf>
    <xf numFmtId="4" fontId="50" fillId="0" borderId="10" xfId="0" applyNumberFormat="1" applyFont="1" applyBorder="1" applyAlignment="1">
      <alignment horizontal="center" vertical="center" wrapText="1"/>
    </xf>
    <xf numFmtId="0" fontId="36" fillId="0" borderId="1" xfId="0" applyFont="1" applyBorder="1" applyAlignment="1">
      <alignment horizontal="center"/>
    </xf>
    <xf numFmtId="0" fontId="68" fillId="0" borderId="0" xfId="0" applyFont="1"/>
    <xf numFmtId="0" fontId="28" fillId="0" borderId="3" xfId="0" applyFont="1" applyBorder="1"/>
    <xf numFmtId="0" fontId="28" fillId="0" borderId="11" xfId="0" applyFont="1" applyBorder="1"/>
    <xf numFmtId="0" fontId="28" fillId="0" borderId="6" xfId="0" applyFont="1" applyBorder="1"/>
    <xf numFmtId="0" fontId="28" fillId="0" borderId="3" xfId="0" applyFont="1" applyBorder="1" applyAlignment="1">
      <alignment horizontal="center"/>
    </xf>
    <xf numFmtId="0" fontId="28" fillId="0" borderId="4" xfId="0" applyFont="1" applyBorder="1" applyAlignment="1">
      <alignment horizontal="center"/>
    </xf>
    <xf numFmtId="0" fontId="36" fillId="0" borderId="1" xfId="0" applyFont="1" applyBorder="1" applyAlignment="1">
      <alignment horizontal="center" vertical="center"/>
    </xf>
    <xf numFmtId="0" fontId="28" fillId="0" borderId="1" xfId="0" applyFont="1" applyBorder="1" applyAlignment="1">
      <alignment horizontal="center" vertical="center" wrapText="1"/>
    </xf>
    <xf numFmtId="10" fontId="28" fillId="0" borderId="1" xfId="0" applyNumberFormat="1" applyFont="1" applyBorder="1" applyAlignment="1">
      <alignment horizontal="center" vertical="center"/>
    </xf>
    <xf numFmtId="0" fontId="28" fillId="0" borderId="0" xfId="0" applyFont="1" applyAlignment="1">
      <alignment horizontal="center"/>
    </xf>
    <xf numFmtId="0" fontId="28" fillId="0" borderId="0" xfId="0" quotePrefix="1" applyFont="1" applyAlignment="1">
      <alignment horizontal="center"/>
    </xf>
    <xf numFmtId="10" fontId="28" fillId="0" borderId="0" xfId="0" applyNumberFormat="1" applyFont="1" applyAlignment="1">
      <alignment horizontal="center" vertical="center"/>
    </xf>
    <xf numFmtId="9" fontId="28" fillId="0" borderId="0" xfId="0" applyNumberFormat="1" applyFont="1" applyAlignment="1">
      <alignment horizontal="center"/>
    </xf>
    <xf numFmtId="0" fontId="28" fillId="0" borderId="5" xfId="0" applyFont="1" applyBorder="1"/>
    <xf numFmtId="0" fontId="28" fillId="0" borderId="12" xfId="0" applyFont="1" applyBorder="1"/>
    <xf numFmtId="0" fontId="28" fillId="0" borderId="1" xfId="0" applyFont="1" applyBorder="1"/>
    <xf numFmtId="0" fontId="28" fillId="0" borderId="8" xfId="0" applyFont="1" applyBorder="1"/>
    <xf numFmtId="14" fontId="34" fillId="0" borderId="0" xfId="0" applyNumberFormat="1" applyFont="1" applyAlignment="1">
      <alignment horizontal="center" vertical="center" wrapText="1"/>
    </xf>
    <xf numFmtId="43" fontId="34" fillId="0" borderId="0" xfId="1" applyFont="1" applyBorder="1" applyAlignment="1">
      <alignment horizontal="center" vertical="center" wrapText="1"/>
    </xf>
    <xf numFmtId="43" fontId="34" fillId="0" borderId="0" xfId="1" applyFont="1" applyBorder="1" applyAlignment="1">
      <alignment horizontal="left" vertical="center" wrapText="1"/>
    </xf>
    <xf numFmtId="2" fontId="34" fillId="0" borderId="0" xfId="0" applyNumberFormat="1" applyFont="1" applyAlignment="1">
      <alignment horizontal="right" vertical="center" wrapText="1"/>
    </xf>
    <xf numFmtId="2" fontId="34" fillId="0" borderId="1" xfId="0" applyNumberFormat="1" applyFont="1" applyBorder="1" applyAlignment="1">
      <alignment horizontal="center" vertical="center" wrapText="1"/>
    </xf>
    <xf numFmtId="4" fontId="69" fillId="0" borderId="1" xfId="0" applyNumberFormat="1" applyFont="1" applyBorder="1" applyAlignment="1">
      <alignment horizontal="center" vertical="center"/>
    </xf>
    <xf numFmtId="10" fontId="69" fillId="0" borderId="1" xfId="3" applyNumberFormat="1" applyFont="1" applyFill="1" applyBorder="1" applyAlignment="1">
      <alignment horizontal="center" vertical="center"/>
    </xf>
    <xf numFmtId="4" fontId="28" fillId="0" borderId="0" xfId="0" applyNumberFormat="1" applyFont="1"/>
    <xf numFmtId="4" fontId="28" fillId="0" borderId="1" xfId="0" applyNumberFormat="1" applyFont="1" applyBorder="1" applyAlignment="1">
      <alignment horizontal="center" vertical="center"/>
    </xf>
    <xf numFmtId="168" fontId="69" fillId="0" borderId="1" xfId="0" applyNumberFormat="1" applyFont="1" applyBorder="1" applyAlignment="1">
      <alignment horizontal="center" vertical="center"/>
    </xf>
    <xf numFmtId="165" fontId="28" fillId="0" borderId="1" xfId="0" applyNumberFormat="1" applyFont="1" applyBorder="1" applyAlignment="1">
      <alignment horizontal="center" vertical="center"/>
    </xf>
    <xf numFmtId="165" fontId="69" fillId="0" borderId="1" xfId="0" applyNumberFormat="1" applyFont="1" applyBorder="1" applyAlignment="1">
      <alignment horizontal="center" vertical="center"/>
    </xf>
    <xf numFmtId="0" fontId="28" fillId="0" borderId="0" xfId="0" applyFont="1" applyAlignment="1">
      <alignment horizontal="center" vertical="center" wrapText="1"/>
    </xf>
    <xf numFmtId="0" fontId="10" fillId="0" borderId="0" xfId="0" applyFont="1" applyAlignment="1">
      <alignment horizontal="center" vertical="center" wrapText="1"/>
    </xf>
    <xf numFmtId="4" fontId="69" fillId="0" borderId="0" xfId="0" applyNumberFormat="1" applyFont="1" applyAlignment="1">
      <alignment horizontal="center" vertical="center"/>
    </xf>
    <xf numFmtId="168" fontId="69" fillId="0" borderId="0" xfId="0" applyNumberFormat="1" applyFont="1" applyAlignment="1">
      <alignment horizontal="center" vertical="center"/>
    </xf>
    <xf numFmtId="165" fontId="28" fillId="0" borderId="0" xfId="0" applyNumberFormat="1" applyFont="1" applyAlignment="1">
      <alignment horizontal="center" vertical="center"/>
    </xf>
    <xf numFmtId="165" fontId="69" fillId="0" borderId="0" xfId="0" applyNumberFormat="1" applyFont="1" applyAlignment="1">
      <alignment horizontal="center" vertical="center"/>
    </xf>
    <xf numFmtId="4" fontId="28" fillId="0" borderId="0" xfId="0" applyNumberFormat="1" applyFont="1" applyAlignment="1">
      <alignment horizontal="center" vertical="center"/>
    </xf>
    <xf numFmtId="0" fontId="71" fillId="0" borderId="0" xfId="0" applyFont="1"/>
    <xf numFmtId="0" fontId="28" fillId="0" borderId="0" xfId="0" applyFont="1" applyAlignment="1">
      <alignment horizontal="left"/>
    </xf>
    <xf numFmtId="2" fontId="39" fillId="0" borderId="2" xfId="0" applyNumberFormat="1" applyFont="1" applyBorder="1" applyAlignment="1">
      <alignment horizontal="center" vertical="center"/>
    </xf>
    <xf numFmtId="2" fontId="16" fillId="0" borderId="1" xfId="2" applyNumberFormat="1" applyFont="1" applyBorder="1" applyAlignment="1">
      <alignment horizontal="center"/>
    </xf>
    <xf numFmtId="0" fontId="28" fillId="0" borderId="4" xfId="0" applyFont="1" applyBorder="1"/>
    <xf numFmtId="0" fontId="28" fillId="0" borderId="7" xfId="0" applyFont="1" applyBorder="1"/>
    <xf numFmtId="4" fontId="66" fillId="0" borderId="1" xfId="0" applyNumberFormat="1" applyFont="1" applyBorder="1" applyAlignment="1">
      <alignment horizontal="right"/>
    </xf>
    <xf numFmtId="10" fontId="34" fillId="0" borderId="1" xfId="3" applyNumberFormat="1" applyFont="1" applyBorder="1" applyAlignment="1">
      <alignment horizontal="center" vertical="center"/>
    </xf>
    <xf numFmtId="10" fontId="45" fillId="0" borderId="1" xfId="1" applyNumberFormat="1" applyFont="1" applyBorder="1" applyAlignment="1">
      <alignment horizontal="center" vertical="center" wrapText="1"/>
    </xf>
    <xf numFmtId="164" fontId="33" fillId="0" borderId="2" xfId="0" applyNumberFormat="1" applyFont="1" applyBorder="1" applyAlignment="1">
      <alignment horizontal="center" vertical="center" wrapText="1"/>
    </xf>
    <xf numFmtId="174" fontId="16" fillId="0" borderId="2" xfId="1" applyNumberFormat="1" applyFont="1" applyBorder="1" applyAlignment="1">
      <alignment horizontal="center" vertical="center" wrapText="1"/>
    </xf>
    <xf numFmtId="0" fontId="46" fillId="0" borderId="14" xfId="0" applyFont="1" applyBorder="1" applyAlignment="1">
      <alignment horizontal="center" vertical="center" wrapText="1"/>
    </xf>
    <xf numFmtId="0" fontId="46" fillId="0" borderId="13" xfId="0" applyFont="1" applyBorder="1" applyAlignment="1">
      <alignment horizontal="center" vertical="center" wrapText="1"/>
    </xf>
    <xf numFmtId="164" fontId="33" fillId="0" borderId="0" xfId="0" applyNumberFormat="1" applyFont="1" applyAlignment="1">
      <alignment horizontal="center" vertical="center" wrapText="1"/>
    </xf>
    <xf numFmtId="183" fontId="17" fillId="0" borderId="12" xfId="1" applyNumberFormat="1" applyFont="1" applyFill="1" applyBorder="1" applyAlignment="1">
      <alignment horizontal="center" vertical="center"/>
    </xf>
    <xf numFmtId="174" fontId="16" fillId="0" borderId="4" xfId="1" applyNumberFormat="1" applyFont="1" applyBorder="1" applyAlignment="1">
      <alignment horizontal="center" vertical="center" wrapText="1"/>
    </xf>
    <xf numFmtId="0" fontId="0" fillId="0" borderId="11" xfId="0" applyBorder="1"/>
    <xf numFmtId="43" fontId="25" fillId="0" borderId="0" xfId="1" applyFont="1" applyBorder="1" applyAlignment="1">
      <alignment horizontal="center"/>
    </xf>
    <xf numFmtId="0" fontId="0" fillId="0" borderId="7" xfId="0" applyBorder="1" applyAlignment="1">
      <alignment horizontal="center"/>
    </xf>
    <xf numFmtId="177" fontId="0" fillId="0" borderId="7" xfId="0" applyNumberFormat="1" applyBorder="1"/>
    <xf numFmtId="3" fontId="41" fillId="0" borderId="1" xfId="0" applyNumberFormat="1" applyFont="1" applyBorder="1" applyAlignment="1">
      <alignment horizontal="center"/>
    </xf>
    <xf numFmtId="0" fontId="33" fillId="0" borderId="1" xfId="0" applyFont="1" applyBorder="1" applyAlignment="1">
      <alignment horizontal="center" vertical="center"/>
    </xf>
    <xf numFmtId="4" fontId="41" fillId="0" borderId="1" xfId="0" quotePrefix="1" applyNumberFormat="1" applyFont="1" applyBorder="1" applyAlignment="1">
      <alignment horizontal="center"/>
    </xf>
    <xf numFmtId="164" fontId="33" fillId="0" borderId="1" xfId="0" applyNumberFormat="1" applyFont="1" applyBorder="1" applyAlignment="1">
      <alignment horizontal="center"/>
    </xf>
    <xf numFmtId="10" fontId="33" fillId="0" borderId="0" xfId="3" applyNumberFormat="1" applyFont="1" applyBorder="1"/>
    <xf numFmtId="43" fontId="33" fillId="0" borderId="0" xfId="1" applyFont="1" applyBorder="1"/>
    <xf numFmtId="171" fontId="33" fillId="0" borderId="0" xfId="1" applyNumberFormat="1" applyFont="1" applyBorder="1"/>
    <xf numFmtId="43" fontId="33" fillId="0" borderId="0" xfId="0" applyNumberFormat="1" applyFont="1"/>
    <xf numFmtId="4" fontId="33" fillId="0" borderId="0" xfId="0" applyNumberFormat="1" applyFont="1"/>
    <xf numFmtId="43" fontId="18" fillId="0" borderId="1" xfId="1" quotePrefix="1" applyFont="1" applyBorder="1"/>
    <xf numFmtId="0" fontId="18" fillId="0" borderId="1" xfId="0" quotePrefix="1" applyFont="1" applyBorder="1"/>
    <xf numFmtId="43" fontId="33" fillId="0" borderId="1" xfId="1" applyFont="1" applyBorder="1" applyAlignment="1">
      <alignment horizontal="center"/>
    </xf>
    <xf numFmtId="43" fontId="33" fillId="0" borderId="1" xfId="0" applyNumberFormat="1" applyFont="1" applyBorder="1" applyAlignment="1">
      <alignment horizontal="center"/>
    </xf>
    <xf numFmtId="43" fontId="16" fillId="0" borderId="1" xfId="2" applyNumberFormat="1" applyFont="1" applyBorder="1" applyAlignment="1">
      <alignment horizontal="center" vertical="center" wrapText="1"/>
    </xf>
    <xf numFmtId="4" fontId="66" fillId="0" borderId="1" xfId="2" applyNumberFormat="1" applyFont="1" applyBorder="1" applyAlignment="1">
      <alignment horizontal="center" vertical="center" wrapText="1"/>
    </xf>
    <xf numFmtId="0" fontId="73" fillId="0" borderId="1" xfId="0" applyFont="1" applyBorder="1" applyAlignment="1">
      <alignment horizontal="center" vertical="center" wrapText="1"/>
    </xf>
    <xf numFmtId="14" fontId="0" fillId="2" borderId="1" xfId="0" applyNumberFormat="1" applyFill="1" applyBorder="1" applyAlignment="1">
      <alignment horizontal="center" vertical="center" wrapText="1"/>
    </xf>
    <xf numFmtId="14" fontId="0" fillId="0" borderId="0" xfId="0" applyNumberFormat="1" applyAlignment="1">
      <alignment horizontal="center" vertical="center" wrapText="1"/>
    </xf>
    <xf numFmtId="2" fontId="0" fillId="2" borderId="1" xfId="0" applyNumberFormat="1" applyFill="1" applyBorder="1" applyAlignment="1">
      <alignment horizontal="center" vertical="center" wrapText="1"/>
    </xf>
    <xf numFmtId="0" fontId="18" fillId="0" borderId="0" xfId="4" applyAlignment="1">
      <alignment horizontal="center"/>
    </xf>
    <xf numFmtId="0" fontId="18" fillId="0" borderId="0" xfId="4"/>
    <xf numFmtId="0" fontId="19" fillId="0" borderId="1" xfId="4" applyFont="1" applyBorder="1" applyAlignment="1">
      <alignment horizontal="center" vertical="center" wrapText="1"/>
    </xf>
    <xf numFmtId="2" fontId="75" fillId="0" borderId="1" xfId="4" applyNumberFormat="1" applyFont="1" applyBorder="1" applyAlignment="1">
      <alignment horizontal="center" vertical="center" wrapText="1"/>
    </xf>
    <xf numFmtId="0" fontId="76" fillId="0" borderId="0" xfId="0" applyFont="1"/>
    <xf numFmtId="2" fontId="18" fillId="0" borderId="0" xfId="4" applyNumberFormat="1" applyAlignment="1">
      <alignment horizontal="center" vertical="center" wrapText="1"/>
    </xf>
    <xf numFmtId="14" fontId="49" fillId="8" borderId="1" xfId="0" applyNumberFormat="1" applyFont="1" applyFill="1" applyBorder="1" applyAlignment="1">
      <alignment horizontal="center" vertical="center" wrapText="1"/>
    </xf>
    <xf numFmtId="14" fontId="0" fillId="0" borderId="0" xfId="0" applyNumberFormat="1" applyAlignment="1">
      <alignment horizontal="center"/>
    </xf>
    <xf numFmtId="2" fontId="49" fillId="8" borderId="1" xfId="0" applyNumberFormat="1" applyFont="1" applyFill="1" applyBorder="1" applyAlignment="1">
      <alignment horizontal="center" vertical="center" wrapText="1"/>
    </xf>
    <xf numFmtId="0" fontId="49" fillId="8" borderId="1" xfId="0" applyFont="1" applyFill="1" applyBorder="1" applyAlignment="1">
      <alignment horizontal="center" vertical="center" wrapText="1"/>
    </xf>
    <xf numFmtId="0" fontId="49" fillId="9" borderId="1" xfId="0" applyFont="1" applyFill="1" applyBorder="1" applyAlignment="1">
      <alignment horizontal="center" vertical="center" wrapText="1"/>
    </xf>
    <xf numFmtId="0" fontId="49" fillId="2" borderId="1" xfId="0" applyFont="1" applyFill="1" applyBorder="1" applyAlignment="1">
      <alignment horizontal="center" vertical="center" wrapText="1"/>
    </xf>
    <xf numFmtId="0" fontId="49" fillId="8" borderId="10" xfId="0" applyFont="1" applyFill="1" applyBorder="1" applyAlignment="1">
      <alignment horizontal="center" vertical="center" wrapText="1"/>
    </xf>
    <xf numFmtId="0" fontId="79" fillId="0" borderId="0" xfId="0" applyFont="1" applyAlignment="1">
      <alignment horizontal="center"/>
    </xf>
    <xf numFmtId="0" fontId="80" fillId="0" borderId="1" xfId="0" applyFont="1" applyBorder="1"/>
    <xf numFmtId="0" fontId="57" fillId="0" borderId="1" xfId="0" applyFont="1" applyBorder="1" applyAlignment="1">
      <alignment horizontal="center" vertical="center" wrapText="1"/>
    </xf>
    <xf numFmtId="43" fontId="33" fillId="0" borderId="1" xfId="1" applyFont="1" applyBorder="1" applyAlignment="1">
      <alignment horizontal="center" vertical="center" wrapText="1"/>
    </xf>
    <xf numFmtId="0" fontId="81" fillId="0" borderId="1" xfId="0" applyFont="1" applyBorder="1" applyAlignment="1">
      <alignment horizontal="center"/>
    </xf>
    <xf numFmtId="0" fontId="81" fillId="2" borderId="9" xfId="0" applyFont="1" applyFill="1" applyBorder="1" applyAlignment="1">
      <alignment horizontal="center"/>
    </xf>
    <xf numFmtId="0" fontId="81" fillId="0" borderId="9" xfId="0" applyFont="1" applyBorder="1" applyAlignment="1">
      <alignment horizontal="center"/>
    </xf>
    <xf numFmtId="0" fontId="82" fillId="0" borderId="0" xfId="0" applyFont="1"/>
    <xf numFmtId="0" fontId="83" fillId="0" borderId="0" xfId="0" applyFont="1"/>
    <xf numFmtId="43" fontId="33" fillId="0" borderId="0" xfId="1" applyFont="1"/>
    <xf numFmtId="164" fontId="33" fillId="0" borderId="1" xfId="0" applyNumberFormat="1" applyFont="1" applyBorder="1"/>
    <xf numFmtId="164" fontId="80" fillId="0" borderId="1" xfId="0" applyNumberFormat="1" applyFont="1" applyBorder="1"/>
    <xf numFmtId="2" fontId="33" fillId="0" borderId="0" xfId="0" applyNumberFormat="1" applyFont="1" applyAlignment="1">
      <alignment horizontal="center"/>
    </xf>
    <xf numFmtId="0" fontId="33" fillId="0" borderId="0" xfId="0" applyFont="1" applyAlignment="1">
      <alignment horizontal="left"/>
    </xf>
    <xf numFmtId="43" fontId="33" fillId="0" borderId="1" xfId="0" applyNumberFormat="1" applyFont="1" applyBorder="1"/>
    <xf numFmtId="43" fontId="35" fillId="0" borderId="1" xfId="1" applyFont="1" applyBorder="1" applyAlignment="1">
      <alignment horizontal="center"/>
    </xf>
    <xf numFmtId="0" fontId="84" fillId="0" borderId="0" xfId="0" applyFont="1"/>
    <xf numFmtId="0" fontId="35" fillId="0" borderId="0" xfId="0" applyFont="1"/>
    <xf numFmtId="0" fontId="84" fillId="0" borderId="0" xfId="0" applyFont="1" applyAlignment="1">
      <alignment horizontal="center"/>
    </xf>
    <xf numFmtId="0" fontId="80" fillId="0" borderId="0" xfId="0" applyFont="1"/>
    <xf numFmtId="0" fontId="80" fillId="0" borderId="0" xfId="0" applyFont="1" applyAlignment="1">
      <alignment horizontal="center"/>
    </xf>
    <xf numFmtId="164" fontId="80" fillId="0" borderId="1" xfId="0" applyNumberFormat="1" applyFont="1" applyBorder="1" applyAlignment="1">
      <alignment horizontal="center"/>
    </xf>
    <xf numFmtId="0" fontId="53" fillId="0" borderId="0" xfId="0" applyFont="1"/>
    <xf numFmtId="4" fontId="33" fillId="0" borderId="1" xfId="0" applyNumberFormat="1" applyFont="1" applyBorder="1" applyAlignment="1">
      <alignment horizontal="center" vertical="center" wrapText="1"/>
    </xf>
    <xf numFmtId="0" fontId="33" fillId="0" borderId="0" xfId="0" applyFont="1" applyAlignment="1">
      <alignment horizontal="left" indent="1"/>
    </xf>
    <xf numFmtId="43" fontId="33" fillId="0" borderId="0" xfId="1" applyFont="1" applyAlignment="1">
      <alignment horizontal="center" vertical="center" wrapText="1"/>
    </xf>
    <xf numFmtId="0" fontId="33" fillId="0" borderId="1" xfId="0" applyFont="1" applyBorder="1" applyAlignment="1">
      <alignment horizontal="right"/>
    </xf>
    <xf numFmtId="0" fontId="33" fillId="2" borderId="1" xfId="0" applyFont="1" applyFill="1" applyBorder="1" applyAlignment="1">
      <alignment horizontal="right"/>
    </xf>
    <xf numFmtId="2" fontId="33" fillId="0" borderId="0" xfId="0" applyNumberFormat="1" applyFont="1"/>
    <xf numFmtId="4" fontId="35" fillId="0" borderId="1" xfId="0" applyNumberFormat="1" applyFont="1" applyBorder="1" applyAlignment="1">
      <alignment horizontal="center"/>
    </xf>
    <xf numFmtId="4" fontId="33" fillId="0" borderId="1" xfId="0" applyNumberFormat="1" applyFont="1" applyBorder="1" applyAlignment="1">
      <alignment horizontal="center"/>
    </xf>
    <xf numFmtId="4" fontId="35" fillId="0" borderId="1" xfId="0" applyNumberFormat="1" applyFont="1" applyBorder="1"/>
    <xf numFmtId="43" fontId="35" fillId="0" borderId="0" xfId="1" applyFont="1" applyAlignment="1">
      <alignment horizontal="left"/>
    </xf>
    <xf numFmtId="43" fontId="40" fillId="0" borderId="0" xfId="1" applyFont="1"/>
    <xf numFmtId="0" fontId="80" fillId="0" borderId="9" xfId="0" applyFont="1" applyBorder="1" applyAlignment="1">
      <alignment horizontal="center"/>
    </xf>
    <xf numFmtId="0" fontId="33" fillId="0" borderId="9" xfId="0" applyFont="1" applyBorder="1"/>
    <xf numFmtId="0" fontId="80" fillId="0" borderId="1" xfId="0" applyFont="1" applyBorder="1" applyAlignment="1">
      <alignment horizontal="center"/>
    </xf>
    <xf numFmtId="0" fontId="28" fillId="2" borderId="1" xfId="0" applyFont="1" applyFill="1" applyBorder="1" applyAlignment="1">
      <alignment horizontal="center"/>
    </xf>
    <xf numFmtId="9" fontId="33" fillId="0" borderId="1" xfId="0" applyNumberFormat="1" applyFont="1" applyBorder="1" applyAlignment="1">
      <alignment horizontal="center" vertical="center" wrapText="1"/>
    </xf>
    <xf numFmtId="10" fontId="33" fillId="0" borderId="1" xfId="0" applyNumberFormat="1" applyFont="1" applyBorder="1" applyAlignment="1">
      <alignment horizontal="center" vertical="center" wrapText="1"/>
    </xf>
    <xf numFmtId="14" fontId="34" fillId="2" borderId="1" xfId="0" applyNumberFormat="1" applyFont="1" applyFill="1" applyBorder="1" applyAlignment="1">
      <alignment horizontal="center" vertical="center" wrapText="1"/>
    </xf>
    <xf numFmtId="43" fontId="28" fillId="2" borderId="1" xfId="1" applyFont="1" applyFill="1" applyBorder="1"/>
    <xf numFmtId="43" fontId="28" fillId="2" borderId="1" xfId="1" applyFont="1" applyFill="1" applyBorder="1" applyAlignment="1">
      <alignment horizontal="left"/>
    </xf>
    <xf numFmtId="10" fontId="28" fillId="2" borderId="1" xfId="0" applyNumberFormat="1" applyFont="1" applyFill="1" applyBorder="1" applyAlignment="1">
      <alignment horizontal="center" vertical="center"/>
    </xf>
    <xf numFmtId="4" fontId="33" fillId="0" borderId="0" xfId="0" quotePrefix="1" applyNumberFormat="1" applyFont="1"/>
    <xf numFmtId="4" fontId="33" fillId="0" borderId="1" xfId="0" applyNumberFormat="1" applyFont="1" applyBorder="1"/>
    <xf numFmtId="2" fontId="33" fillId="0" borderId="1" xfId="0" applyNumberFormat="1" applyFont="1" applyBorder="1"/>
    <xf numFmtId="4" fontId="27" fillId="0" borderId="1" xfId="0" quotePrefix="1" applyNumberFormat="1" applyFont="1" applyBorder="1" applyAlignment="1">
      <alignment horizontal="center" vertical="center" wrapText="1"/>
    </xf>
    <xf numFmtId="4" fontId="27" fillId="0" borderId="0" xfId="0" quotePrefix="1" applyNumberFormat="1" applyFont="1" applyAlignment="1">
      <alignment horizontal="center" vertical="center" wrapText="1"/>
    </xf>
    <xf numFmtId="0" fontId="27" fillId="0" borderId="0" xfId="0" applyFont="1" applyAlignment="1">
      <alignment horizontal="center" vertical="center" wrapText="1"/>
    </xf>
    <xf numFmtId="0" fontId="35" fillId="0" borderId="0" xfId="0" applyFont="1" applyAlignment="1">
      <alignment horizontal="center" vertical="center" wrapText="1"/>
    </xf>
    <xf numFmtId="0" fontId="41" fillId="0" borderId="1" xfId="0" applyFont="1" applyBorder="1"/>
    <xf numFmtId="43" fontId="33" fillId="2" borderId="1" xfId="0" applyNumberFormat="1" applyFont="1" applyFill="1" applyBorder="1"/>
    <xf numFmtId="4" fontId="0" fillId="2" borderId="1" xfId="0" applyNumberFormat="1" applyFill="1" applyBorder="1"/>
    <xf numFmtId="43" fontId="0" fillId="2" borderId="1" xfId="0" applyNumberFormat="1" applyFill="1" applyBorder="1"/>
    <xf numFmtId="4" fontId="33" fillId="2" borderId="1" xfId="0" applyNumberFormat="1" applyFont="1" applyFill="1" applyBorder="1"/>
    <xf numFmtId="4" fontId="0" fillId="0" borderId="1" xfId="0" applyNumberFormat="1" applyBorder="1"/>
    <xf numFmtId="4" fontId="33" fillId="2" borderId="2" xfId="0" applyNumberFormat="1" applyFont="1" applyFill="1" applyBorder="1"/>
    <xf numFmtId="2" fontId="33" fillId="2" borderId="1" xfId="0" applyNumberFormat="1" applyFont="1" applyFill="1" applyBorder="1"/>
    <xf numFmtId="0" fontId="39" fillId="0" borderId="0" xfId="0" applyFont="1" applyAlignment="1">
      <alignment horizontal="center" vertical="center" wrapText="1"/>
    </xf>
    <xf numFmtId="2" fontId="16" fillId="0" borderId="21" xfId="2" quotePrefix="1" applyNumberFormat="1" applyFont="1" applyBorder="1" applyAlignment="1">
      <alignment horizontal="center" vertical="center" wrapText="1"/>
    </xf>
    <xf numFmtId="0" fontId="3" fillId="0" borderId="10" xfId="0" applyFont="1" applyBorder="1" applyAlignment="1">
      <alignment vertical="center"/>
    </xf>
    <xf numFmtId="0" fontId="3" fillId="0" borderId="9" xfId="0" applyFont="1" applyBorder="1" applyAlignment="1">
      <alignment vertical="center"/>
    </xf>
    <xf numFmtId="164" fontId="33" fillId="0" borderId="1" xfId="0" applyNumberFormat="1" applyFont="1" applyBorder="1" applyAlignment="1">
      <alignment horizontal="center" vertical="center" wrapText="1"/>
    </xf>
    <xf numFmtId="43" fontId="34" fillId="0" borderId="1" xfId="1" applyFont="1" applyBorder="1" applyAlignment="1">
      <alignment horizontal="center" vertical="center"/>
    </xf>
    <xf numFmtId="9" fontId="34" fillId="0" borderId="1" xfId="3" applyFont="1" applyBorder="1" applyAlignment="1">
      <alignment horizontal="center" vertical="center"/>
    </xf>
    <xf numFmtId="10" fontId="85" fillId="0" borderId="9" xfId="3" applyNumberFormat="1" applyFont="1" applyBorder="1" applyAlignment="1">
      <alignment horizontal="center" vertical="center"/>
    </xf>
    <xf numFmtId="43" fontId="85" fillId="0" borderId="1" xfId="1" applyFont="1" applyBorder="1" applyAlignment="1">
      <alignment horizontal="center" vertical="center"/>
    </xf>
    <xf numFmtId="0" fontId="81" fillId="0" borderId="0" xfId="0" applyFont="1"/>
    <xf numFmtId="43" fontId="86" fillId="0" borderId="1" xfId="1" applyFont="1" applyBorder="1" applyAlignment="1">
      <alignment horizontal="right" vertical="center"/>
    </xf>
    <xf numFmtId="10" fontId="33" fillId="0" borderId="1" xfId="3" applyNumberFormat="1" applyFont="1" applyBorder="1" applyAlignment="1">
      <alignment horizontal="right" vertical="center" wrapText="1"/>
    </xf>
    <xf numFmtId="0" fontId="33" fillId="0" borderId="0" xfId="0" applyFont="1" applyAlignment="1">
      <alignment horizontal="right" vertical="center" wrapText="1"/>
    </xf>
    <xf numFmtId="0" fontId="81" fillId="7" borderId="9" xfId="0" applyFont="1" applyFill="1" applyBorder="1" applyAlignment="1">
      <alignment horizontal="center"/>
    </xf>
    <xf numFmtId="164" fontId="87" fillId="11" borderId="1" xfId="0" applyNumberFormat="1" applyFont="1" applyFill="1" applyBorder="1"/>
    <xf numFmtId="164" fontId="87" fillId="0" borderId="0" xfId="0" applyNumberFormat="1" applyFont="1"/>
    <xf numFmtId="43" fontId="35" fillId="0" borderId="0" xfId="1" applyFont="1" applyBorder="1" applyAlignment="1">
      <alignment horizontal="center"/>
    </xf>
    <xf numFmtId="4" fontId="87" fillId="11" borderId="0" xfId="0" applyNumberFormat="1" applyFont="1" applyFill="1"/>
    <xf numFmtId="0" fontId="87" fillId="11" borderId="0" xfId="0" applyFont="1" applyFill="1"/>
    <xf numFmtId="0" fontId="88" fillId="11" borderId="0" xfId="0" applyFont="1" applyFill="1"/>
    <xf numFmtId="0" fontId="89" fillId="11" borderId="0" xfId="0" applyFont="1" applyFill="1"/>
    <xf numFmtId="0" fontId="50" fillId="0" borderId="0" xfId="0" applyFont="1"/>
    <xf numFmtId="0" fontId="33" fillId="12" borderId="1" xfId="0" applyFont="1" applyFill="1" applyBorder="1"/>
    <xf numFmtId="43" fontId="72" fillId="2" borderId="1" xfId="0" applyNumberFormat="1" applyFont="1" applyFill="1" applyBorder="1" applyAlignment="1">
      <alignment horizontal="center" vertical="center" wrapText="1"/>
    </xf>
    <xf numFmtId="14" fontId="0" fillId="0" borderId="0" xfId="0" applyNumberFormat="1"/>
    <xf numFmtId="2" fontId="91" fillId="0" borderId="1" xfId="4" applyNumberFormat="1" applyFont="1" applyBorder="1" applyAlignment="1">
      <alignment horizontal="center" vertical="center" wrapText="1"/>
    </xf>
    <xf numFmtId="0" fontId="49" fillId="0" borderId="13" xfId="0" applyFont="1" applyBorder="1" applyAlignment="1">
      <alignment horizontal="center" vertical="center" wrapText="1"/>
    </xf>
    <xf numFmtId="14" fontId="49" fillId="8" borderId="13" xfId="0" applyNumberFormat="1" applyFont="1" applyFill="1" applyBorder="1" applyAlignment="1">
      <alignment horizontal="center" vertical="center" wrapText="1"/>
    </xf>
    <xf numFmtId="4" fontId="92" fillId="11" borderId="1" xfId="0" applyNumberFormat="1" applyFont="1" applyFill="1" applyBorder="1" applyAlignment="1">
      <alignment horizontal="center" vertical="center"/>
    </xf>
    <xf numFmtId="0" fontId="33" fillId="13" borderId="0" xfId="0" applyFont="1" applyFill="1"/>
    <xf numFmtId="0" fontId="87" fillId="13" borderId="0" xfId="0" applyFont="1" applyFill="1" applyAlignment="1">
      <alignment horizontal="center" vertical="center" wrapText="1"/>
    </xf>
    <xf numFmtId="0" fontId="72" fillId="0" borderId="1" xfId="0" quotePrefix="1" applyFont="1" applyBorder="1" applyAlignment="1">
      <alignment horizontal="center"/>
    </xf>
    <xf numFmtId="2" fontId="0" fillId="2" borderId="0" xfId="0" applyNumberFormat="1" applyFill="1"/>
    <xf numFmtId="43" fontId="27" fillId="0" borderId="1" xfId="1" quotePrefix="1" applyFont="1" applyBorder="1" applyAlignment="1">
      <alignment horizontal="center" vertical="center" wrapText="1"/>
    </xf>
    <xf numFmtId="166" fontId="6" fillId="0" borderId="1" xfId="3" applyNumberFormat="1" applyFont="1" applyBorder="1" applyAlignment="1">
      <alignment horizontal="center" vertical="center" wrapText="1"/>
    </xf>
    <xf numFmtId="14" fontId="0" fillId="0" borderId="1" xfId="0" applyNumberFormat="1" applyBorder="1" applyAlignment="1">
      <alignment horizontal="center" vertical="center" wrapText="1"/>
    </xf>
    <xf numFmtId="0" fontId="85" fillId="0" borderId="0" xfId="0" applyFont="1"/>
    <xf numFmtId="43" fontId="34" fillId="0" borderId="1" xfId="0" applyNumberFormat="1" applyFont="1" applyBorder="1" applyAlignment="1">
      <alignment horizontal="center" vertical="center" wrapText="1"/>
    </xf>
    <xf numFmtId="2" fontId="34" fillId="2" borderId="1" xfId="0" applyNumberFormat="1" applyFont="1" applyFill="1" applyBorder="1" applyAlignment="1">
      <alignment horizontal="center" vertical="center" wrapText="1"/>
    </xf>
    <xf numFmtId="43" fontId="34" fillId="2" borderId="1" xfId="0" applyNumberFormat="1" applyFont="1" applyFill="1" applyBorder="1" applyAlignment="1">
      <alignment horizontal="center" vertical="center" wrapText="1"/>
    </xf>
    <xf numFmtId="4" fontId="34" fillId="2" borderId="1" xfId="0" applyNumberFormat="1" applyFont="1" applyFill="1" applyBorder="1" applyAlignment="1">
      <alignment horizontal="center" vertical="center" wrapText="1"/>
    </xf>
    <xf numFmtId="9" fontId="34" fillId="0" borderId="1" xfId="0" applyNumberFormat="1" applyFont="1" applyBorder="1" applyAlignment="1">
      <alignment horizontal="center" vertical="center" wrapText="1"/>
    </xf>
    <xf numFmtId="0" fontId="80" fillId="13" borderId="1" xfId="0" applyFont="1" applyFill="1" applyBorder="1" applyAlignment="1">
      <alignment horizontal="center"/>
    </xf>
    <xf numFmtId="0" fontId="33" fillId="12" borderId="1" xfId="0" applyFont="1" applyFill="1" applyBorder="1" applyAlignment="1">
      <alignment horizontal="center"/>
    </xf>
    <xf numFmtId="0" fontId="33" fillId="12" borderId="0" xfId="0" applyFont="1" applyFill="1"/>
    <xf numFmtId="43" fontId="0" fillId="2" borderId="1" xfId="0" applyNumberFormat="1" applyFill="1" applyBorder="1" applyAlignment="1">
      <alignment horizontal="center" vertical="center" wrapText="1"/>
    </xf>
    <xf numFmtId="0" fontId="74" fillId="0" borderId="1" xfId="0" applyFont="1" applyBorder="1" applyAlignment="1">
      <alignment horizontal="center" vertical="center" wrapText="1"/>
    </xf>
    <xf numFmtId="1" fontId="34" fillId="2" borderId="1" xfId="4" applyNumberFormat="1" applyFont="1" applyFill="1" applyBorder="1" applyAlignment="1">
      <alignment horizontal="center" vertical="center" wrapText="1"/>
    </xf>
    <xf numFmtId="2" fontId="34" fillId="0" borderId="1" xfId="4" applyNumberFormat="1" applyFont="1" applyBorder="1" applyAlignment="1">
      <alignment horizontal="center" vertical="center" wrapText="1"/>
    </xf>
    <xf numFmtId="0" fontId="12" fillId="2" borderId="1" xfId="0" applyFont="1" applyFill="1" applyBorder="1" applyAlignment="1">
      <alignment horizontal="center" vertical="center" wrapText="1"/>
    </xf>
    <xf numFmtId="43" fontId="34" fillId="2" borderId="1" xfId="1" applyFont="1" applyFill="1" applyBorder="1" applyAlignment="1">
      <alignment horizontal="center" vertical="center" wrapText="1"/>
    </xf>
    <xf numFmtId="43" fontId="34" fillId="0" borderId="1" xfId="1" quotePrefix="1" applyFont="1" applyFill="1" applyBorder="1" applyAlignment="1">
      <alignment horizontal="center" vertical="center" wrapText="1"/>
    </xf>
    <xf numFmtId="43" fontId="12" fillId="0" borderId="1" xfId="1" applyFont="1" applyFill="1" applyBorder="1" applyAlignment="1">
      <alignment horizontal="center" vertical="center" wrapText="1"/>
    </xf>
    <xf numFmtId="43" fontId="34" fillId="0" borderId="1" xfId="1" applyFont="1" applyFill="1" applyBorder="1" applyAlignment="1">
      <alignment horizontal="center" vertical="center" wrapText="1"/>
    </xf>
    <xf numFmtId="2" fontId="34" fillId="0" borderId="13" xfId="4" applyNumberFormat="1" applyFont="1" applyBorder="1" applyAlignment="1">
      <alignment horizontal="center" vertical="center" wrapText="1"/>
    </xf>
    <xf numFmtId="0" fontId="12" fillId="0" borderId="1" xfId="4" applyFont="1" applyBorder="1" applyAlignment="1">
      <alignment horizontal="center" vertical="center" wrapText="1"/>
    </xf>
    <xf numFmtId="2" fontId="50" fillId="0" borderId="1" xfId="4" applyNumberFormat="1" applyFont="1" applyBorder="1" applyAlignment="1">
      <alignment horizontal="center" vertical="center" wrapText="1"/>
    </xf>
    <xf numFmtId="43" fontId="34" fillId="0" borderId="0" xfId="1" applyFont="1" applyFill="1" applyBorder="1" applyAlignment="1">
      <alignment horizontal="center" vertical="center" wrapText="1"/>
    </xf>
    <xf numFmtId="43" fontId="3" fillId="2" borderId="2" xfId="0" applyNumberFormat="1" applyFont="1" applyFill="1" applyBorder="1" applyAlignment="1">
      <alignment horizontal="center" vertical="center"/>
    </xf>
    <xf numFmtId="4" fontId="7" fillId="2" borderId="2" xfId="0" applyNumberFormat="1" applyFont="1" applyFill="1" applyBorder="1" applyAlignment="1">
      <alignment horizontal="center" vertical="center"/>
    </xf>
    <xf numFmtId="43" fontId="92" fillId="14" borderId="1" xfId="1" applyFont="1" applyFill="1" applyBorder="1" applyAlignment="1">
      <alignment horizontal="center" vertical="center"/>
    </xf>
    <xf numFmtId="171" fontId="92" fillId="14" borderId="9" xfId="1" applyNumberFormat="1" applyFont="1" applyFill="1" applyBorder="1" applyAlignment="1">
      <alignment horizontal="right" vertical="center" wrapText="1"/>
    </xf>
    <xf numFmtId="171" fontId="92" fillId="14" borderId="1" xfId="1" applyNumberFormat="1" applyFont="1" applyFill="1" applyBorder="1" applyAlignment="1">
      <alignment horizontal="right" vertical="center" wrapText="1"/>
    </xf>
    <xf numFmtId="43" fontId="92" fillId="14" borderId="1" xfId="1" applyFont="1" applyFill="1" applyBorder="1" applyAlignment="1">
      <alignment horizontal="right" vertical="center"/>
    </xf>
    <xf numFmtId="0" fontId="34" fillId="0" borderId="1" xfId="0" applyFont="1" applyBorder="1" applyAlignment="1">
      <alignment vertical="center" wrapText="1"/>
    </xf>
    <xf numFmtId="0" fontId="34" fillId="0" borderId="0" xfId="0" applyFont="1" applyAlignment="1">
      <alignment vertical="center" wrapText="1"/>
    </xf>
    <xf numFmtId="0" fontId="40" fillId="0" borderId="0" xfId="0" applyFont="1" applyAlignment="1">
      <alignment vertical="center"/>
    </xf>
    <xf numFmtId="184" fontId="34" fillId="0" borderId="1" xfId="1" quotePrefix="1" applyNumberFormat="1" applyFont="1" applyBorder="1" applyAlignment="1">
      <alignment horizontal="center" vertical="center" wrapText="1"/>
    </xf>
    <xf numFmtId="0" fontId="87" fillId="11" borderId="0" xfId="0" applyFont="1" applyFill="1" applyAlignment="1">
      <alignment horizontal="center" vertical="center" wrapText="1"/>
    </xf>
    <xf numFmtId="0" fontId="79" fillId="0" borderId="7" xfId="0" applyFont="1" applyBorder="1" applyAlignment="1">
      <alignment horizontal="center"/>
    </xf>
    <xf numFmtId="0" fontId="33" fillId="0" borderId="1" xfId="0" applyFont="1" applyBorder="1" applyAlignment="1">
      <alignment horizontal="center"/>
    </xf>
    <xf numFmtId="0" fontId="33" fillId="0" borderId="0" xfId="0" applyFont="1" applyAlignment="1">
      <alignment horizontal="right"/>
    </xf>
    <xf numFmtId="0" fontId="33" fillId="0" borderId="12" xfId="0" applyFont="1" applyBorder="1" applyAlignment="1">
      <alignment horizontal="right"/>
    </xf>
    <xf numFmtId="0" fontId="33" fillId="0" borderId="0" xfId="0" applyFont="1" applyAlignment="1">
      <alignment horizontal="center"/>
    </xf>
    <xf numFmtId="0" fontId="33" fillId="0" borderId="1" xfId="0" applyFont="1" applyBorder="1" applyAlignment="1">
      <alignment horizontal="center" vertical="center" wrapText="1"/>
    </xf>
    <xf numFmtId="0" fontId="33" fillId="0" borderId="10" xfId="0" applyFont="1" applyBorder="1" applyAlignment="1">
      <alignment horizontal="center" vertical="center" wrapText="1"/>
    </xf>
    <xf numFmtId="0" fontId="33" fillId="0" borderId="15" xfId="0" applyFont="1" applyBorder="1" applyAlignment="1">
      <alignment horizontal="center" vertical="center" wrapText="1"/>
    </xf>
    <xf numFmtId="0" fontId="33" fillId="0" borderId="9" xfId="0" applyFont="1" applyBorder="1" applyAlignment="1">
      <alignment horizontal="center" vertical="center" wrapText="1"/>
    </xf>
    <xf numFmtId="0" fontId="33" fillId="2" borderId="1" xfId="0" applyFont="1" applyFill="1" applyBorder="1" applyAlignment="1">
      <alignment horizontal="center" vertical="center" wrapText="1"/>
    </xf>
    <xf numFmtId="0" fontId="33" fillId="0" borderId="0" xfId="0" applyFont="1" applyAlignment="1">
      <alignment horizontal="left"/>
    </xf>
    <xf numFmtId="0" fontId="80" fillId="0" borderId="3" xfId="5" applyFont="1" applyBorder="1" applyAlignment="1">
      <alignment horizontal="center" vertical="center" wrapText="1"/>
    </xf>
    <xf numFmtId="0" fontId="80" fillId="0" borderId="4" xfId="5" applyFont="1" applyBorder="1" applyAlignment="1">
      <alignment horizontal="center" vertical="center" wrapText="1"/>
    </xf>
    <xf numFmtId="0" fontId="80" fillId="0" borderId="5" xfId="5" applyFont="1" applyBorder="1" applyAlignment="1">
      <alignment horizontal="center" vertical="center" wrapText="1"/>
    </xf>
    <xf numFmtId="0" fontId="80" fillId="0" borderId="11" xfId="5" applyFont="1" applyBorder="1" applyAlignment="1">
      <alignment horizontal="center" vertical="center" wrapText="1"/>
    </xf>
    <xf numFmtId="0" fontId="80" fillId="0" borderId="0" xfId="5" applyFont="1" applyAlignment="1">
      <alignment horizontal="center" vertical="center" wrapText="1"/>
    </xf>
    <xf numFmtId="0" fontId="80" fillId="0" borderId="12" xfId="5" applyFont="1" applyBorder="1" applyAlignment="1">
      <alignment horizontal="center" vertical="center" wrapText="1"/>
    </xf>
    <xf numFmtId="0" fontId="80" fillId="0" borderId="6" xfId="5" applyFont="1" applyBorder="1" applyAlignment="1">
      <alignment horizontal="center" vertical="center" wrapText="1"/>
    </xf>
    <xf numFmtId="0" fontId="80" fillId="0" borderId="7" xfId="5" applyFont="1" applyBorder="1" applyAlignment="1">
      <alignment horizontal="center" vertical="center" wrapText="1"/>
    </xf>
    <xf numFmtId="0" fontId="80" fillId="0" borderId="8" xfId="5" applyFont="1" applyBorder="1" applyAlignment="1">
      <alignment horizontal="center" vertical="center" wrapText="1"/>
    </xf>
    <xf numFmtId="0" fontId="87" fillId="10" borderId="11" xfId="0" applyFont="1" applyFill="1" applyBorder="1" applyAlignment="1">
      <alignment horizontal="center" vertical="center" wrapText="1"/>
    </xf>
    <xf numFmtId="0" fontId="87" fillId="10" borderId="6" xfId="0" applyFont="1" applyFill="1" applyBorder="1" applyAlignment="1">
      <alignment horizontal="center" vertical="center" wrapText="1"/>
    </xf>
    <xf numFmtId="0" fontId="33" fillId="2" borderId="11" xfId="0" applyFont="1" applyFill="1" applyBorder="1" applyAlignment="1">
      <alignment horizontal="center" vertical="center" wrapText="1"/>
    </xf>
    <xf numFmtId="0" fontId="28" fillId="7" borderId="1" xfId="0" applyFont="1" applyFill="1" applyBorder="1" applyAlignment="1">
      <alignment horizontal="center"/>
    </xf>
    <xf numFmtId="0" fontId="28" fillId="0" borderId="1" xfId="0" applyFont="1" applyBorder="1" applyAlignment="1">
      <alignment horizontal="center" vertical="center" wrapText="1"/>
    </xf>
    <xf numFmtId="0" fontId="36" fillId="0" borderId="1" xfId="0" applyFont="1" applyBorder="1" applyAlignment="1">
      <alignment horizontal="center" vertical="center" wrapText="1"/>
    </xf>
    <xf numFmtId="0" fontId="28" fillId="0" borderId="10" xfId="0" applyFont="1" applyBorder="1" applyAlignment="1">
      <alignment horizontal="center"/>
    </xf>
    <xf numFmtId="0" fontId="28" fillId="0" borderId="9" xfId="0" applyFont="1" applyBorder="1" applyAlignment="1">
      <alignment horizontal="center"/>
    </xf>
    <xf numFmtId="0" fontId="10" fillId="0" borderId="1" xfId="0" applyFont="1" applyBorder="1" applyAlignment="1">
      <alignment horizontal="center" vertical="center" wrapText="1"/>
    </xf>
    <xf numFmtId="43" fontId="34" fillId="0" borderId="3" xfId="1" applyFont="1" applyBorder="1" applyAlignment="1">
      <alignment horizontal="center" vertical="center" wrapText="1"/>
    </xf>
    <xf numFmtId="43" fontId="34" fillId="0" borderId="5" xfId="1" applyFont="1" applyBorder="1" applyAlignment="1">
      <alignment horizontal="center" vertical="center" wrapText="1"/>
    </xf>
    <xf numFmtId="0" fontId="70" fillId="0" borderId="0" xfId="0" applyFont="1" applyAlignment="1">
      <alignment horizontal="center" vertical="center" wrapText="1"/>
    </xf>
    <xf numFmtId="2" fontId="28" fillId="2" borderId="1" xfId="0" applyNumberFormat="1" applyFont="1" applyFill="1" applyBorder="1" applyAlignment="1">
      <alignment horizontal="center" vertical="center"/>
    </xf>
    <xf numFmtId="0" fontId="28" fillId="0" borderId="1" xfId="0" applyFont="1" applyBorder="1" applyAlignment="1">
      <alignment horizontal="center" vertical="center"/>
    </xf>
    <xf numFmtId="0" fontId="34" fillId="0" borderId="1" xfId="0" applyFont="1" applyBorder="1" applyAlignment="1">
      <alignment horizontal="center" vertical="center"/>
    </xf>
    <xf numFmtId="1" fontId="28" fillId="0" borderId="1" xfId="0" applyNumberFormat="1" applyFont="1" applyBorder="1" applyAlignment="1">
      <alignment horizontal="center" vertical="center"/>
    </xf>
    <xf numFmtId="0" fontId="93" fillId="9" borderId="1" xfId="0" applyFont="1" applyFill="1" applyBorder="1" applyAlignment="1">
      <alignment horizontal="center" vertical="center" wrapText="1"/>
    </xf>
    <xf numFmtId="0" fontId="90" fillId="8" borderId="1" xfId="0" applyFont="1" applyFill="1" applyBorder="1" applyAlignment="1">
      <alignment horizontal="center" vertical="center"/>
    </xf>
    <xf numFmtId="0" fontId="0" fillId="2" borderId="1" xfId="0"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8" xfId="0" applyFont="1" applyFill="1" applyBorder="1" applyAlignment="1">
      <alignment horizontal="center" vertical="center" wrapText="1"/>
    </xf>
    <xf numFmtId="0" fontId="0" fillId="0" borderId="1" xfId="0" applyBorder="1" applyAlignment="1">
      <alignment horizontal="center" vertical="center" wrapText="1"/>
    </xf>
    <xf numFmtId="0" fontId="73" fillId="2" borderId="6" xfId="0" applyFont="1" applyFill="1" applyBorder="1" applyAlignment="1">
      <alignment horizontal="center" vertical="center" wrapText="1"/>
    </xf>
    <xf numFmtId="0" fontId="73" fillId="2" borderId="7" xfId="0" applyFont="1" applyFill="1" applyBorder="1" applyAlignment="1">
      <alignment horizontal="center" vertical="center" wrapText="1"/>
    </xf>
    <xf numFmtId="0" fontId="73" fillId="2" borderId="8" xfId="0" applyFont="1" applyFill="1" applyBorder="1" applyAlignment="1">
      <alignment horizontal="center" vertical="center" wrapText="1"/>
    </xf>
    <xf numFmtId="2" fontId="75" fillId="0" borderId="10" xfId="4" applyNumberFormat="1" applyFont="1" applyBorder="1" applyAlignment="1">
      <alignment horizontal="center" vertical="center" wrapText="1"/>
    </xf>
    <xf numFmtId="2" fontId="75" fillId="0" borderId="9" xfId="4" applyNumberFormat="1" applyFont="1" applyBorder="1" applyAlignment="1">
      <alignment horizontal="center" vertical="center" wrapText="1"/>
    </xf>
    <xf numFmtId="0" fontId="0" fillId="7" borderId="11" xfId="0" applyFill="1" applyBorder="1" applyAlignment="1">
      <alignment horizontal="center" vertical="center" wrapText="1"/>
    </xf>
    <xf numFmtId="0" fontId="0" fillId="7" borderId="0" xfId="0" applyFill="1" applyAlignment="1">
      <alignment horizontal="center" vertical="center" wrapText="1"/>
    </xf>
    <xf numFmtId="0" fontId="0" fillId="0" borderId="11" xfId="0" applyBorder="1" applyAlignment="1">
      <alignment horizontal="center" vertical="center" wrapText="1"/>
    </xf>
    <xf numFmtId="0" fontId="0" fillId="0" borderId="0" xfId="0" applyAlignment="1">
      <alignment horizontal="center" vertical="center" wrapText="1"/>
    </xf>
    <xf numFmtId="0" fontId="0" fillId="0" borderId="10" xfId="4" applyFont="1" applyBorder="1" applyAlignment="1">
      <alignment horizontal="center"/>
    </xf>
    <xf numFmtId="0" fontId="0" fillId="0" borderId="9" xfId="4" applyFont="1" applyBorder="1" applyAlignment="1">
      <alignment horizontal="center"/>
    </xf>
    <xf numFmtId="0" fontId="94" fillId="2" borderId="0" xfId="4" applyFont="1" applyFill="1" applyAlignment="1">
      <alignment horizontal="center" vertical="center" wrapText="1"/>
    </xf>
    <xf numFmtId="0" fontId="34" fillId="0" borderId="1" xfId="0" applyFont="1" applyBorder="1" applyAlignment="1">
      <alignment horizontal="center" vertical="center" wrapText="1"/>
    </xf>
    <xf numFmtId="0" fontId="34" fillId="0" borderId="0" xfId="0" applyFont="1" applyAlignment="1">
      <alignment horizontal="center" vertical="center" wrapText="1"/>
    </xf>
    <xf numFmtId="43" fontId="34" fillId="0" borderId="1" xfId="1" applyFont="1" applyBorder="1" applyAlignment="1">
      <alignment horizontal="center" vertical="center" wrapText="1"/>
    </xf>
    <xf numFmtId="0" fontId="34" fillId="0" borderId="11" xfId="0" applyFont="1" applyBorder="1" applyAlignment="1">
      <alignment horizontal="center" vertical="center" wrapText="1"/>
    </xf>
    <xf numFmtId="0" fontId="34" fillId="2" borderId="1" xfId="0" applyFont="1" applyFill="1" applyBorder="1" applyAlignment="1">
      <alignment horizontal="center" vertical="center" wrapText="1"/>
    </xf>
    <xf numFmtId="0" fontId="26" fillId="0" borderId="1" xfId="0" applyFont="1" applyBorder="1" applyAlignment="1">
      <alignment horizontal="center" vertical="center" wrapText="1"/>
    </xf>
    <xf numFmtId="0" fontId="10" fillId="0" borderId="0" xfId="2" applyFont="1" applyAlignment="1">
      <alignment horizontal="left" vertical="center" wrapText="1"/>
    </xf>
    <xf numFmtId="0" fontId="6" fillId="0" borderId="1" xfId="0" applyFont="1" applyBorder="1" applyAlignment="1">
      <alignment horizontal="left" vertical="center"/>
    </xf>
    <xf numFmtId="0" fontId="6" fillId="0" borderId="10" xfId="0" applyFont="1" applyBorder="1" applyAlignment="1">
      <alignment horizontal="left" vertical="center"/>
    </xf>
    <xf numFmtId="0" fontId="26" fillId="0" borderId="13" xfId="0" applyFont="1" applyBorder="1" applyAlignment="1">
      <alignment horizontal="center" vertical="center" wrapText="1"/>
    </xf>
    <xf numFmtId="0" fontId="26" fillId="0" borderId="0" xfId="0" applyFont="1" applyAlignment="1">
      <alignment horizontal="center"/>
    </xf>
    <xf numFmtId="0" fontId="26" fillId="0" borderId="12" xfId="0" applyFont="1" applyBorder="1" applyAlignment="1">
      <alignment horizontal="center"/>
    </xf>
    <xf numFmtId="0" fontId="32" fillId="0" borderId="1" xfId="0" applyFont="1" applyBorder="1" applyAlignment="1">
      <alignment horizontal="left" vertical="center"/>
    </xf>
    <xf numFmtId="0" fontId="32" fillId="0" borderId="10" xfId="0" applyFont="1" applyBorder="1" applyAlignment="1">
      <alignment horizontal="left" vertical="center"/>
    </xf>
    <xf numFmtId="0" fontId="6" fillId="0" borderId="9" xfId="0" applyFont="1" applyBorder="1" applyAlignment="1">
      <alignment horizontal="left" vertical="center"/>
    </xf>
    <xf numFmtId="0" fontId="37" fillId="0" borderId="0" xfId="0" applyFont="1" applyAlignment="1">
      <alignment horizontal="left" vertical="center" wrapText="1"/>
    </xf>
    <xf numFmtId="0" fontId="38" fillId="0" borderId="1" xfId="0" applyFont="1" applyBorder="1" applyAlignment="1">
      <alignment horizontal="right"/>
    </xf>
    <xf numFmtId="4" fontId="24" fillId="2" borderId="2" xfId="0" quotePrefix="1" applyNumberFormat="1" applyFont="1" applyFill="1" applyBorder="1"/>
    <xf numFmtId="0" fontId="24" fillId="2" borderId="2" xfId="0" applyFont="1" applyFill="1" applyBorder="1"/>
    <xf numFmtId="4" fontId="24" fillId="2" borderId="1" xfId="0" applyNumberFormat="1" applyFont="1" applyFill="1" applyBorder="1"/>
    <xf numFmtId="0" fontId="24" fillId="2" borderId="1" xfId="0" applyFont="1" applyFill="1" applyBorder="1"/>
    <xf numFmtId="0" fontId="42" fillId="0" borderId="6" xfId="0" applyFont="1" applyBorder="1" applyAlignment="1">
      <alignment horizontal="center" vertical="center" wrapText="1"/>
    </xf>
    <xf numFmtId="0" fontId="42" fillId="0" borderId="8" xfId="0" applyFont="1" applyBorder="1" applyAlignment="1">
      <alignment horizontal="center" vertical="center" wrapText="1"/>
    </xf>
    <xf numFmtId="0" fontId="42" fillId="0" borderId="13" xfId="0" applyFont="1" applyBorder="1" applyAlignment="1">
      <alignment horizontal="center" vertical="center" wrapText="1"/>
    </xf>
    <xf numFmtId="0" fontId="36" fillId="0" borderId="1" xfId="0" applyFont="1" applyBorder="1" applyAlignment="1">
      <alignment horizontal="center"/>
    </xf>
    <xf numFmtId="4" fontId="28" fillId="2" borderId="1" xfId="0" applyNumberFormat="1" applyFont="1" applyFill="1" applyBorder="1" applyAlignment="1">
      <alignment horizontal="center"/>
    </xf>
    <xf numFmtId="0" fontId="28" fillId="2" borderId="1" xfId="0" applyFont="1" applyFill="1" applyBorder="1" applyAlignment="1">
      <alignment horizontal="center"/>
    </xf>
    <xf numFmtId="0" fontId="37" fillId="0" borderId="1" xfId="0" applyFont="1" applyBorder="1" applyAlignment="1">
      <alignment horizontal="right" vertical="center" wrapText="1"/>
    </xf>
    <xf numFmtId="2" fontId="24" fillId="2" borderId="1" xfId="0" applyNumberFormat="1" applyFont="1" applyFill="1" applyBorder="1" applyAlignment="1">
      <alignment horizontal="center"/>
    </xf>
    <xf numFmtId="0" fontId="24" fillId="2" borderId="1" xfId="0" applyFont="1" applyFill="1" applyBorder="1" applyAlignment="1">
      <alignment horizontal="center"/>
    </xf>
    <xf numFmtId="0" fontId="38" fillId="0" borderId="3" xfId="0" applyFont="1" applyBorder="1" applyAlignment="1">
      <alignment horizontal="center" vertical="center" wrapText="1"/>
    </xf>
    <xf numFmtId="0" fontId="38" fillId="0" borderId="4" xfId="0" applyFont="1" applyBorder="1" applyAlignment="1">
      <alignment horizontal="center" vertical="center" wrapText="1"/>
    </xf>
    <xf numFmtId="0" fontId="38" fillId="0" borderId="5" xfId="0" applyFont="1" applyBorder="1" applyAlignment="1">
      <alignment horizontal="center" vertical="center" wrapText="1"/>
    </xf>
    <xf numFmtId="0" fontId="38" fillId="0" borderId="6" xfId="0" applyFont="1" applyBorder="1" applyAlignment="1">
      <alignment horizontal="center" vertical="center" wrapText="1"/>
    </xf>
    <xf numFmtId="0" fontId="38" fillId="0" borderId="7" xfId="0" applyFont="1" applyBorder="1" applyAlignment="1">
      <alignment horizontal="center" vertical="center" wrapText="1"/>
    </xf>
    <xf numFmtId="0" fontId="38" fillId="0" borderId="8" xfId="0" applyFont="1" applyBorder="1" applyAlignment="1">
      <alignment horizontal="center" vertical="center" wrapText="1"/>
    </xf>
    <xf numFmtId="0" fontId="38" fillId="0" borderId="13" xfId="0" applyFont="1" applyBorder="1" applyAlignment="1">
      <alignment horizontal="center" vertical="center" wrapText="1"/>
    </xf>
    <xf numFmtId="4" fontId="24" fillId="2" borderId="3" xfId="0" applyNumberFormat="1" applyFont="1" applyFill="1" applyBorder="1" applyAlignment="1">
      <alignment horizontal="center"/>
    </xf>
    <xf numFmtId="0" fontId="24" fillId="2" borderId="5" xfId="0" applyFont="1" applyFill="1" applyBorder="1" applyAlignment="1">
      <alignment horizontal="center"/>
    </xf>
    <xf numFmtId="10" fontId="24" fillId="2" borderId="1" xfId="0" applyNumberFormat="1" applyFont="1" applyFill="1" applyBorder="1" applyAlignment="1">
      <alignment horizontal="center"/>
    </xf>
    <xf numFmtId="0" fontId="8" fillId="6"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vertical="center" wrapText="1"/>
    </xf>
    <xf numFmtId="0" fontId="8" fillId="5" borderId="1" xfId="0" applyFont="1" applyFill="1" applyBorder="1" applyAlignment="1">
      <alignment horizontal="center" vertical="center" wrapText="1"/>
    </xf>
    <xf numFmtId="0" fontId="5" fillId="0" borderId="0" xfId="0" applyFont="1" applyAlignment="1">
      <alignment horizontal="left" vertical="center"/>
    </xf>
    <xf numFmtId="0" fontId="3" fillId="0" borderId="1" xfId="0" applyFont="1" applyBorder="1" applyAlignment="1">
      <alignment horizontal="left" vertical="center" wrapText="1"/>
    </xf>
    <xf numFmtId="0" fontId="6" fillId="0" borderId="15" xfId="0" applyFont="1" applyBorder="1" applyAlignment="1">
      <alignment horizontal="left" vertical="center" wrapText="1"/>
    </xf>
    <xf numFmtId="0" fontId="6" fillId="0" borderId="9" xfId="0" applyFont="1" applyBorder="1" applyAlignment="1">
      <alignment horizontal="left" vertical="center" wrapText="1"/>
    </xf>
    <xf numFmtId="0" fontId="8" fillId="4" borderId="1" xfId="0" applyFont="1" applyFill="1" applyBorder="1" applyAlignment="1">
      <alignment horizontal="center" vertical="center" wrapText="1"/>
    </xf>
    <xf numFmtId="0" fontId="7" fillId="0" borderId="1" xfId="0" applyFont="1" applyBorder="1" applyAlignment="1">
      <alignment horizontal="left" vertical="center" wrapText="1"/>
    </xf>
    <xf numFmtId="0" fontId="3" fillId="0" borderId="10" xfId="0" applyFont="1" applyBorder="1" applyAlignment="1">
      <alignment horizontal="left" vertical="center" wrapText="1"/>
    </xf>
    <xf numFmtId="0" fontId="3" fillId="0" borderId="9" xfId="0" applyFont="1" applyBorder="1" applyAlignment="1">
      <alignment horizontal="left" vertical="center" wrapText="1"/>
    </xf>
    <xf numFmtId="0" fontId="4" fillId="0" borderId="0" xfId="0" applyFont="1" applyAlignment="1">
      <alignment horizontal="center"/>
    </xf>
    <xf numFmtId="0" fontId="21" fillId="0" borderId="0" xfId="0" applyFont="1" applyAlignment="1">
      <alignment horizontal="left"/>
    </xf>
    <xf numFmtId="0" fontId="7" fillId="0" borderId="0" xfId="0" applyFont="1" applyAlignment="1">
      <alignment horizontal="center" vertical="center" wrapText="1"/>
    </xf>
    <xf numFmtId="0" fontId="7" fillId="0" borderId="10" xfId="0" applyFont="1" applyBorder="1" applyAlignment="1">
      <alignment vertical="center" wrapText="1"/>
    </xf>
    <xf numFmtId="0" fontId="7" fillId="0" borderId="9" xfId="0" applyFont="1" applyBorder="1" applyAlignment="1">
      <alignment vertical="center" wrapText="1"/>
    </xf>
    <xf numFmtId="0" fontId="0" fillId="0" borderId="10" xfId="0" applyBorder="1" applyAlignment="1">
      <alignment horizontal="center"/>
    </xf>
    <xf numFmtId="0" fontId="0" fillId="0" borderId="9" xfId="0" applyBorder="1" applyAlignment="1">
      <alignment horizontal="center"/>
    </xf>
    <xf numFmtId="0" fontId="16" fillId="0" borderId="10" xfId="2" applyFont="1" applyBorder="1" applyAlignment="1">
      <alignment horizontal="center" vertical="center" wrapText="1"/>
    </xf>
    <xf numFmtId="0" fontId="16" fillId="0" borderId="15" xfId="2" applyFont="1" applyBorder="1" applyAlignment="1">
      <alignment horizontal="center" vertical="center" wrapText="1"/>
    </xf>
    <xf numFmtId="0" fontId="16" fillId="0" borderId="9" xfId="2" applyFont="1" applyBorder="1" applyAlignment="1">
      <alignment horizontal="center" vertical="center" wrapText="1"/>
    </xf>
    <xf numFmtId="0" fontId="16" fillId="0" borderId="20" xfId="2" applyFont="1" applyBorder="1" applyAlignment="1">
      <alignment horizontal="center" vertical="center" wrapText="1"/>
    </xf>
    <xf numFmtId="0" fontId="16" fillId="0" borderId="4" xfId="2" applyFont="1" applyBorder="1" applyAlignment="1">
      <alignment horizontal="center" vertical="center" wrapText="1"/>
    </xf>
    <xf numFmtId="0" fontId="59" fillId="0" borderId="1" xfId="0" applyFont="1" applyBorder="1" applyAlignment="1">
      <alignment horizontal="right"/>
    </xf>
    <xf numFmtId="0" fontId="30" fillId="0" borderId="1" xfId="0" applyFont="1" applyBorder="1" applyAlignment="1">
      <alignment horizontal="center" vertical="center" wrapText="1"/>
    </xf>
    <xf numFmtId="0" fontId="21" fillId="4" borderId="1" xfId="0" applyFont="1" applyFill="1" applyBorder="1" applyAlignment="1">
      <alignment horizontal="center" vertical="center" wrapText="1"/>
    </xf>
    <xf numFmtId="14" fontId="17" fillId="0" borderId="6" xfId="0" applyNumberFormat="1" applyFont="1" applyBorder="1" applyAlignment="1">
      <alignment horizontal="center" vertical="center" wrapText="1"/>
    </xf>
    <xf numFmtId="14" fontId="17" fillId="0" borderId="7" xfId="0" applyNumberFormat="1" applyFont="1" applyBorder="1" applyAlignment="1">
      <alignment horizontal="center" vertical="center" wrapText="1"/>
    </xf>
    <xf numFmtId="14" fontId="17" fillId="0" borderId="8" xfId="0" applyNumberFormat="1" applyFont="1" applyBorder="1" applyAlignment="1">
      <alignment horizontal="center" vertical="center" wrapText="1"/>
    </xf>
    <xf numFmtId="0" fontId="54" fillId="2" borderId="6" xfId="2" applyFont="1" applyFill="1" applyBorder="1" applyAlignment="1">
      <alignment horizontal="center" vertical="center" wrapText="1"/>
    </xf>
    <xf numFmtId="0" fontId="54" fillId="2" borderId="7" xfId="2" applyFont="1" applyFill="1" applyBorder="1" applyAlignment="1">
      <alignment horizontal="center" vertical="center" wrapText="1"/>
    </xf>
    <xf numFmtId="0" fontId="16" fillId="0" borderId="10" xfId="2" applyFont="1" applyBorder="1" applyAlignment="1">
      <alignment horizontal="right" vertical="center" wrapText="1"/>
    </xf>
    <xf numFmtId="0" fontId="16" fillId="0" borderId="15" xfId="2" applyFont="1" applyBorder="1" applyAlignment="1">
      <alignment horizontal="right" vertical="center" wrapText="1"/>
    </xf>
    <xf numFmtId="0" fontId="16" fillId="0" borderId="9" xfId="2" applyFont="1" applyBorder="1" applyAlignment="1">
      <alignment horizontal="right" vertical="center" wrapText="1"/>
    </xf>
    <xf numFmtId="0" fontId="7" fillId="0" borderId="10" xfId="0" applyFont="1" applyBorder="1" applyAlignment="1">
      <alignment horizontal="center" vertical="center" wrapText="1"/>
    </xf>
    <xf numFmtId="0" fontId="7" fillId="0" borderId="9" xfId="0" applyFont="1" applyBorder="1" applyAlignment="1">
      <alignment horizontal="center" vertical="center" wrapText="1"/>
    </xf>
    <xf numFmtId="0" fontId="16" fillId="0" borderId="10" xfId="2" applyFont="1" applyBorder="1" applyAlignment="1">
      <alignment horizontal="center"/>
    </xf>
    <xf numFmtId="0" fontId="16" fillId="0" borderId="15" xfId="2" applyFont="1" applyBorder="1" applyAlignment="1">
      <alignment horizontal="center"/>
    </xf>
    <xf numFmtId="0" fontId="16" fillId="0" borderId="9" xfId="2" applyFont="1" applyBorder="1" applyAlignment="1">
      <alignment horizontal="center"/>
    </xf>
    <xf numFmtId="0" fontId="17" fillId="0" borderId="1" xfId="2" applyFont="1" applyBorder="1" applyAlignment="1">
      <alignment horizontal="center"/>
    </xf>
    <xf numFmtId="3" fontId="16" fillId="0" borderId="10" xfId="2" applyNumberFormat="1" applyFont="1" applyBorder="1" applyAlignment="1">
      <alignment horizontal="center"/>
    </xf>
    <xf numFmtId="3" fontId="16" fillId="0" borderId="15" xfId="2" applyNumberFormat="1" applyFont="1" applyBorder="1" applyAlignment="1">
      <alignment horizontal="center"/>
    </xf>
    <xf numFmtId="3" fontId="16" fillId="0" borderId="9" xfId="2" applyNumberFormat="1" applyFont="1" applyBorder="1" applyAlignment="1">
      <alignment horizontal="center"/>
    </xf>
    <xf numFmtId="1" fontId="17" fillId="0" borderId="1" xfId="2" applyNumberFormat="1" applyFont="1" applyBorder="1" applyAlignment="1">
      <alignment horizontal="center"/>
    </xf>
    <xf numFmtId="0" fontId="2" fillId="0" borderId="25" xfId="2" applyFont="1" applyBorder="1" applyAlignment="1">
      <alignment horizontal="center"/>
    </xf>
    <xf numFmtId="0" fontId="2" fillId="0" borderId="19" xfId="2" applyFont="1" applyBorder="1" applyAlignment="1">
      <alignment horizontal="center"/>
    </xf>
    <xf numFmtId="0" fontId="59" fillId="0" borderId="10" xfId="2" applyFont="1" applyBorder="1" applyAlignment="1">
      <alignment horizontal="center"/>
    </xf>
    <xf numFmtId="0" fontId="59" fillId="0" borderId="15" xfId="2" applyFont="1" applyBorder="1" applyAlignment="1">
      <alignment horizontal="center"/>
    </xf>
    <xf numFmtId="0" fontId="59" fillId="0" borderId="9" xfId="2" applyFont="1" applyBorder="1" applyAlignment="1">
      <alignment horizontal="center"/>
    </xf>
    <xf numFmtId="0" fontId="59" fillId="0" borderId="3" xfId="2" applyFont="1" applyBorder="1" applyAlignment="1">
      <alignment horizontal="center"/>
    </xf>
    <xf numFmtId="0" fontId="59" fillId="0" borderId="4" xfId="2" applyFont="1" applyBorder="1" applyAlignment="1">
      <alignment horizontal="center"/>
    </xf>
    <xf numFmtId="0" fontId="59" fillId="0" borderId="5" xfId="2" applyFont="1" applyBorder="1" applyAlignment="1">
      <alignment horizontal="center"/>
    </xf>
    <xf numFmtId="0" fontId="17" fillId="0" borderId="10" xfId="2" applyFont="1" applyBorder="1" applyAlignment="1">
      <alignment horizontal="center"/>
    </xf>
    <xf numFmtId="0" fontId="17" fillId="0" borderId="15" xfId="2" applyFont="1" applyBorder="1" applyAlignment="1">
      <alignment horizontal="center"/>
    </xf>
    <xf numFmtId="0" fontId="17" fillId="0" borderId="9" xfId="2" applyFont="1" applyBorder="1" applyAlignment="1">
      <alignment horizontal="center"/>
    </xf>
    <xf numFmtId="0" fontId="16" fillId="0" borderId="17" xfId="2" applyFont="1" applyBorder="1" applyAlignment="1">
      <alignment horizontal="center"/>
    </xf>
    <xf numFmtId="0" fontId="16" fillId="0" borderId="10" xfId="0" applyFont="1" applyBorder="1" applyAlignment="1">
      <alignment horizontal="left"/>
    </xf>
    <xf numFmtId="0" fontId="16" fillId="0" borderId="9" xfId="0" applyFont="1" applyBorder="1" applyAlignment="1">
      <alignment horizontal="left"/>
    </xf>
    <xf numFmtId="0" fontId="11" fillId="0" borderId="10" xfId="0" applyFont="1" applyBorder="1" applyAlignment="1">
      <alignment horizontal="center" vertical="center"/>
    </xf>
    <xf numFmtId="0" fontId="11" fillId="0" borderId="9" xfId="0" applyFont="1" applyBorder="1" applyAlignment="1">
      <alignment horizontal="center" vertical="center"/>
    </xf>
    <xf numFmtId="0" fontId="11" fillId="0" borderId="10" xfId="0" applyFont="1" applyBorder="1" applyAlignment="1">
      <alignment horizontal="left" vertical="center"/>
    </xf>
    <xf numFmtId="0" fontId="11" fillId="0" borderId="9" xfId="0" applyFont="1" applyBorder="1" applyAlignment="1">
      <alignment horizontal="left" vertical="center"/>
    </xf>
    <xf numFmtId="0" fontId="6" fillId="0" borderId="15" xfId="0" applyFont="1" applyBorder="1" applyAlignment="1">
      <alignment horizontal="center" vertical="center" wrapText="1"/>
    </xf>
    <xf numFmtId="0" fontId="6" fillId="0" borderId="9" xfId="0" applyFont="1" applyBorder="1" applyAlignment="1">
      <alignment horizontal="center" vertical="center" wrapText="1"/>
    </xf>
    <xf numFmtId="0" fontId="17" fillId="0" borderId="10" xfId="0" applyFont="1" applyBorder="1" applyAlignment="1">
      <alignment horizontal="left" vertical="center" wrapText="1"/>
    </xf>
    <xf numFmtId="0" fontId="17" fillId="0" borderId="9" xfId="0" applyFont="1" applyBorder="1" applyAlignment="1">
      <alignment horizontal="left" vertical="center" wrapText="1"/>
    </xf>
    <xf numFmtId="0" fontId="3" fillId="2" borderId="10"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9" xfId="0" applyFont="1" applyFill="1" applyBorder="1" applyAlignment="1">
      <alignment horizontal="center" vertical="center"/>
    </xf>
    <xf numFmtId="0" fontId="3" fillId="0" borderId="10" xfId="0" applyFont="1" applyBorder="1" applyAlignment="1">
      <alignment horizontal="left" vertical="center"/>
    </xf>
    <xf numFmtId="0" fontId="3" fillId="0" borderId="9" xfId="0" applyFont="1" applyBorder="1" applyAlignment="1">
      <alignment horizontal="left" vertical="center"/>
    </xf>
    <xf numFmtId="0" fontId="52" fillId="0" borderId="0" xfId="0" applyFont="1" applyAlignment="1">
      <alignment horizontal="center" vertical="center" wrapText="1"/>
    </xf>
    <xf numFmtId="0" fontId="17" fillId="2" borderId="10"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2" borderId="9" xfId="0" applyFont="1" applyFill="1" applyBorder="1" applyAlignment="1">
      <alignment horizontal="center" vertical="center" wrapText="1"/>
    </xf>
    <xf numFmtId="0" fontId="3" fillId="0" borderId="10" xfId="0" applyFont="1" applyBorder="1" applyAlignment="1">
      <alignment vertical="center" wrapText="1"/>
    </xf>
    <xf numFmtId="0" fontId="3" fillId="0" borderId="9" xfId="0" applyFont="1" applyBorder="1" applyAlignment="1">
      <alignment vertical="center" wrapText="1"/>
    </xf>
    <xf numFmtId="0" fontId="6" fillId="0" borderId="15" xfId="0" applyFont="1" applyBorder="1" applyAlignment="1">
      <alignment vertical="center" wrapText="1"/>
    </xf>
    <xf numFmtId="0" fontId="6" fillId="0" borderId="9" xfId="0" applyFont="1" applyBorder="1" applyAlignment="1">
      <alignment vertical="center" wrapText="1"/>
    </xf>
    <xf numFmtId="0" fontId="35" fillId="2" borderId="3" xfId="0" applyFont="1" applyFill="1" applyBorder="1" applyAlignment="1">
      <alignment horizontal="center"/>
    </xf>
    <xf numFmtId="0" fontId="35" fillId="2" borderId="4" xfId="0" applyFont="1" applyFill="1" applyBorder="1" applyAlignment="1">
      <alignment horizontal="center"/>
    </xf>
    <xf numFmtId="0" fontId="17" fillId="0" borderId="10" xfId="0" applyFont="1" applyBorder="1" applyAlignment="1">
      <alignment vertical="center" wrapText="1"/>
    </xf>
    <xf numFmtId="0" fontId="17" fillId="0" borderId="9" xfId="0" applyFont="1" applyBorder="1" applyAlignment="1">
      <alignment vertical="center" wrapText="1"/>
    </xf>
    <xf numFmtId="0" fontId="33" fillId="2" borderId="10" xfId="0" applyFont="1" applyFill="1" applyBorder="1" applyAlignment="1">
      <alignment horizontal="center"/>
    </xf>
    <xf numFmtId="0" fontId="33" fillId="2" borderId="9" xfId="0" applyFont="1" applyFill="1" applyBorder="1" applyAlignment="1">
      <alignment horizontal="center"/>
    </xf>
    <xf numFmtId="43" fontId="39" fillId="0" borderId="10" xfId="1" applyFont="1" applyBorder="1" applyAlignment="1">
      <alignment horizontal="center" vertical="center" wrapText="1"/>
    </xf>
    <xf numFmtId="43" fontId="39" fillId="0" borderId="15" xfId="1" applyFont="1" applyBorder="1" applyAlignment="1">
      <alignment horizontal="center" vertical="center" wrapText="1"/>
    </xf>
    <xf numFmtId="43" fontId="39" fillId="0" borderId="9" xfId="1" applyFont="1" applyBorder="1" applyAlignment="1">
      <alignment horizontal="center" vertical="center" wrapText="1"/>
    </xf>
    <xf numFmtId="0" fontId="35" fillId="0" borderId="10" xfId="0" applyFont="1" applyBorder="1" applyAlignment="1">
      <alignment horizontal="center" vertical="center" wrapText="1"/>
    </xf>
    <xf numFmtId="0" fontId="35" fillId="0" borderId="9" xfId="0" applyFont="1" applyBorder="1" applyAlignment="1">
      <alignment horizontal="center" vertical="center" wrapText="1"/>
    </xf>
    <xf numFmtId="0" fontId="95" fillId="14" borderId="10" xfId="0" applyFont="1" applyFill="1" applyBorder="1" applyAlignment="1">
      <alignment vertical="center" wrapText="1"/>
    </xf>
    <xf numFmtId="0" fontId="95" fillId="14" borderId="9" xfId="0" applyFont="1" applyFill="1" applyBorder="1" applyAlignment="1">
      <alignment vertical="center" wrapText="1"/>
    </xf>
    <xf numFmtId="0" fontId="6" fillId="0" borderId="1" xfId="0" applyFont="1" applyBorder="1" applyAlignment="1">
      <alignment vertical="center" wrapText="1"/>
    </xf>
    <xf numFmtId="0" fontId="3" fillId="0" borderId="10" xfId="0" applyFont="1" applyBorder="1" applyAlignment="1">
      <alignment vertical="center"/>
    </xf>
    <xf numFmtId="0" fontId="3" fillId="0" borderId="9" xfId="0" applyFont="1" applyBorder="1" applyAlignment="1">
      <alignment vertical="center"/>
    </xf>
    <xf numFmtId="0" fontId="2" fillId="0" borderId="10" xfId="0" applyFont="1" applyBorder="1" applyAlignment="1">
      <alignment horizontal="center" vertical="center"/>
    </xf>
    <xf numFmtId="0" fontId="2" fillId="0" borderId="9" xfId="0" applyFont="1" applyBorder="1" applyAlignment="1">
      <alignment horizontal="center" vertical="center"/>
    </xf>
    <xf numFmtId="0" fontId="56" fillId="2" borderId="10" xfId="0" applyFont="1" applyFill="1" applyBorder="1" applyAlignment="1">
      <alignment horizontal="center" vertical="center"/>
    </xf>
    <xf numFmtId="0" fontId="56" fillId="2" borderId="9" xfId="0" applyFont="1" applyFill="1" applyBorder="1" applyAlignment="1">
      <alignment horizontal="center" vertical="center"/>
    </xf>
    <xf numFmtId="0" fontId="17" fillId="0" borderId="10" xfId="0" applyFont="1" applyBorder="1" applyAlignment="1">
      <alignment horizontal="left" vertical="center" wrapText="1" indent="1"/>
    </xf>
    <xf numFmtId="0" fontId="17" fillId="0" borderId="9" xfId="0" applyFont="1" applyBorder="1" applyAlignment="1">
      <alignment horizontal="left" vertical="center" wrapText="1" indent="1"/>
    </xf>
    <xf numFmtId="0" fontId="57" fillId="2" borderId="10" xfId="0" applyFont="1" applyFill="1" applyBorder="1" applyAlignment="1">
      <alignment horizontal="center"/>
    </xf>
    <xf numFmtId="0" fontId="57" fillId="2" borderId="9" xfId="0" applyFont="1" applyFill="1" applyBorder="1" applyAlignment="1">
      <alignment horizontal="center"/>
    </xf>
    <xf numFmtId="0" fontId="3" fillId="0" borderId="15" xfId="0" applyFont="1" applyBorder="1" applyAlignment="1">
      <alignment horizontal="left" vertical="center" wrapText="1"/>
    </xf>
    <xf numFmtId="0" fontId="31" fillId="0" borderId="10" xfId="0" applyFont="1" applyBorder="1" applyAlignment="1">
      <alignment horizontal="left" vertical="center"/>
    </xf>
    <xf numFmtId="0" fontId="31" fillId="0" borderId="9" xfId="0" applyFont="1" applyBorder="1" applyAlignment="1">
      <alignment horizontal="left" vertical="center"/>
    </xf>
    <xf numFmtId="0" fontId="33" fillId="0" borderId="0" xfId="0" applyFont="1" applyAlignment="1">
      <alignment horizontal="center" vertical="center" wrapText="1"/>
    </xf>
    <xf numFmtId="169" fontId="40" fillId="0" borderId="1" xfId="0" applyNumberFormat="1" applyFont="1" applyBorder="1" applyAlignment="1">
      <alignment horizontal="center" vertical="center" wrapText="1"/>
    </xf>
    <xf numFmtId="0" fontId="40" fillId="0" borderId="1" xfId="0" applyFont="1" applyBorder="1" applyAlignment="1">
      <alignment horizontal="center" vertical="center" wrapText="1"/>
    </xf>
    <xf numFmtId="43" fontId="34" fillId="0" borderId="1" xfId="0" applyNumberFormat="1" applyFont="1" applyBorder="1" applyAlignment="1">
      <alignment horizontal="center" vertical="center" wrapText="1"/>
    </xf>
    <xf numFmtId="0" fontId="59" fillId="0" borderId="21" xfId="0" applyFont="1" applyBorder="1" applyAlignment="1">
      <alignment horizontal="center"/>
    </xf>
    <xf numFmtId="0" fontId="59" fillId="0" borderId="22" xfId="0" applyFont="1" applyBorder="1" applyAlignment="1">
      <alignment horizontal="center"/>
    </xf>
    <xf numFmtId="0" fontId="59" fillId="0" borderId="23" xfId="0" applyFont="1" applyBorder="1" applyAlignment="1">
      <alignment horizontal="center"/>
    </xf>
    <xf numFmtId="0" fontId="54" fillId="2" borderId="10" xfId="2" applyFont="1" applyFill="1" applyBorder="1" applyAlignment="1">
      <alignment horizontal="center" vertical="center" wrapText="1"/>
    </xf>
    <xf numFmtId="0" fontId="54" fillId="2" borderId="15" xfId="2" applyFont="1" applyFill="1" applyBorder="1" applyAlignment="1">
      <alignment horizontal="center" vertical="center" wrapText="1"/>
    </xf>
    <xf numFmtId="0" fontId="54" fillId="2" borderId="9" xfId="2" applyFont="1" applyFill="1" applyBorder="1" applyAlignment="1">
      <alignment horizontal="center" vertical="center" wrapText="1"/>
    </xf>
    <xf numFmtId="9" fontId="67" fillId="0" borderId="8" xfId="3" applyFont="1" applyBorder="1" applyAlignment="1">
      <alignment horizontal="center" vertical="center" wrapText="1"/>
    </xf>
    <xf numFmtId="9" fontId="67" fillId="0" borderId="13" xfId="3" applyFont="1" applyBorder="1" applyAlignment="1">
      <alignment horizontal="center" vertical="center" wrapText="1"/>
    </xf>
    <xf numFmtId="0" fontId="56" fillId="5" borderId="15" xfId="0" applyFont="1" applyFill="1" applyBorder="1" applyAlignment="1">
      <alignment horizontal="center" vertical="center" wrapText="1"/>
    </xf>
    <xf numFmtId="0" fontId="56" fillId="5" borderId="9" xfId="0" applyFont="1" applyFill="1" applyBorder="1" applyAlignment="1">
      <alignment horizontal="center" vertical="center" wrapText="1"/>
    </xf>
    <xf numFmtId="0" fontId="64" fillId="5" borderId="7" xfId="0" applyFont="1" applyFill="1" applyBorder="1" applyAlignment="1">
      <alignment horizontal="center" vertical="center" wrapText="1"/>
    </xf>
    <xf numFmtId="0" fontId="64" fillId="5" borderId="8" xfId="0" applyFont="1" applyFill="1" applyBorder="1" applyAlignment="1">
      <alignment horizontal="center" vertical="center" wrapText="1"/>
    </xf>
    <xf numFmtId="0" fontId="62" fillId="4" borderId="8" xfId="0" applyFont="1" applyFill="1" applyBorder="1" applyAlignment="1">
      <alignment horizontal="center" vertical="center" wrapText="1"/>
    </xf>
    <xf numFmtId="0" fontId="62" fillId="4" borderId="13" xfId="0" applyFont="1" applyFill="1" applyBorder="1" applyAlignment="1">
      <alignment horizontal="center" vertical="center" wrapText="1"/>
    </xf>
    <xf numFmtId="0" fontId="17" fillId="0" borderId="1" xfId="0" applyFont="1" applyBorder="1" applyAlignment="1">
      <alignment horizontal="left" vertical="center" wrapText="1"/>
    </xf>
    <xf numFmtId="0" fontId="33" fillId="0" borderId="10" xfId="0" applyFont="1" applyBorder="1" applyAlignment="1">
      <alignment horizontal="center"/>
    </xf>
    <xf numFmtId="0" fontId="33" fillId="0" borderId="15" xfId="0" applyFont="1" applyBorder="1" applyAlignment="1">
      <alignment horizontal="center"/>
    </xf>
    <xf numFmtId="0" fontId="33" fillId="0" borderId="9" xfId="0" applyFont="1" applyBorder="1" applyAlignment="1">
      <alignment horizontal="center"/>
    </xf>
    <xf numFmtId="0" fontId="7" fillId="0" borderId="0" xfId="0" applyFont="1" applyAlignment="1">
      <alignment horizontal="left" vertical="center"/>
    </xf>
    <xf numFmtId="0" fontId="3" fillId="0" borderId="15" xfId="0" applyFont="1" applyBorder="1" applyAlignment="1">
      <alignment horizontal="center" vertical="center" wrapText="1"/>
    </xf>
    <xf numFmtId="0" fontId="3" fillId="0" borderId="9" xfId="0" applyFont="1" applyBorder="1" applyAlignment="1">
      <alignment horizontal="center" vertical="center" wrapText="1"/>
    </xf>
    <xf numFmtId="0" fontId="24" fillId="0" borderId="0" xfId="0" applyFont="1" applyAlignment="1">
      <alignment horizontal="center"/>
    </xf>
    <xf numFmtId="0" fontId="26" fillId="0" borderId="0" xfId="0" applyFont="1" applyAlignment="1">
      <alignment horizontal="center" vertical="center" wrapText="1"/>
    </xf>
    <xf numFmtId="0" fontId="35" fillId="0" borderId="1" xfId="0" applyFont="1" applyBorder="1" applyAlignment="1">
      <alignment horizontal="right" vertical="center" wrapText="1"/>
    </xf>
    <xf numFmtId="4" fontId="27" fillId="0" borderId="1" xfId="0" quotePrefix="1" applyNumberFormat="1" applyFont="1" applyBorder="1" applyAlignment="1">
      <alignment horizontal="center" vertical="center" wrapText="1"/>
    </xf>
    <xf numFmtId="4" fontId="41" fillId="0" borderId="1" xfId="0" applyNumberFormat="1" applyFont="1" applyBorder="1" applyAlignment="1">
      <alignment horizontal="center"/>
    </xf>
    <xf numFmtId="0" fontId="8" fillId="0" borderId="0" xfId="0" applyFont="1" applyAlignment="1">
      <alignment horizontal="center"/>
    </xf>
    <xf numFmtId="0" fontId="55" fillId="0" borderId="0" xfId="0" applyFont="1" applyAlignment="1">
      <alignment horizontal="left"/>
    </xf>
    <xf numFmtId="0" fontId="64" fillId="6" borderId="4" xfId="0" applyFont="1" applyFill="1" applyBorder="1" applyAlignment="1">
      <alignment horizontal="center" vertical="center" wrapText="1"/>
    </xf>
    <xf numFmtId="0" fontId="64" fillId="6" borderId="5" xfId="0" applyFont="1" applyFill="1" applyBorder="1" applyAlignment="1">
      <alignment horizontal="center" vertical="center" wrapText="1"/>
    </xf>
    <xf numFmtId="0" fontId="3" fillId="0" borderId="1" xfId="0" applyFont="1" applyBorder="1" applyAlignment="1">
      <alignment vertical="center" wrapText="1"/>
    </xf>
    <xf numFmtId="0" fontId="67" fillId="0" borderId="8" xfId="0" applyFont="1" applyBorder="1" applyAlignment="1">
      <alignment horizontal="center" vertical="center" wrapText="1"/>
    </xf>
    <xf numFmtId="0" fontId="67" fillId="0" borderId="13" xfId="0" applyFont="1" applyBorder="1" applyAlignment="1">
      <alignment horizontal="center" vertical="center" wrapText="1"/>
    </xf>
    <xf numFmtId="4" fontId="27" fillId="0" borderId="1" xfId="0" applyNumberFormat="1" applyFont="1" applyBorder="1" applyAlignment="1">
      <alignment horizontal="center" vertical="center" wrapText="1"/>
    </xf>
    <xf numFmtId="0" fontId="27" fillId="0" borderId="1" xfId="0" applyFont="1" applyBorder="1" applyAlignment="1">
      <alignment horizontal="center" vertical="center" wrapText="1"/>
    </xf>
    <xf numFmtId="0" fontId="40" fillId="0" borderId="1" xfId="0" applyFont="1" applyBorder="1" applyAlignment="1">
      <alignment horizontal="right" vertical="center" wrapText="1"/>
    </xf>
    <xf numFmtId="0" fontId="42" fillId="0" borderId="10" xfId="0" applyFont="1" applyBorder="1" applyAlignment="1">
      <alignment horizontal="center" vertical="center" wrapText="1"/>
    </xf>
    <xf numFmtId="0" fontId="42" fillId="0" borderId="9" xfId="0" applyFont="1" applyBorder="1" applyAlignment="1">
      <alignment horizontal="center" vertical="center" wrapText="1"/>
    </xf>
    <xf numFmtId="0" fontId="42" fillId="0" borderId="1" xfId="0" applyFont="1" applyBorder="1" applyAlignment="1">
      <alignment horizontal="right"/>
    </xf>
    <xf numFmtId="0" fontId="41" fillId="0" borderId="1" xfId="0" applyFont="1" applyBorder="1" applyAlignment="1">
      <alignment horizontal="center"/>
    </xf>
    <xf numFmtId="0" fontId="35" fillId="0" borderId="11" xfId="0" applyFont="1" applyBorder="1" applyAlignment="1">
      <alignment horizontal="center" vertical="center" wrapText="1"/>
    </xf>
    <xf numFmtId="0" fontId="35" fillId="0" borderId="0" xfId="0" applyFont="1" applyAlignment="1">
      <alignment horizontal="center" vertical="center" wrapText="1"/>
    </xf>
    <xf numFmtId="0" fontId="35" fillId="0" borderId="12" xfId="0" applyFont="1" applyBorder="1" applyAlignment="1">
      <alignment horizontal="center" vertical="center" wrapText="1"/>
    </xf>
    <xf numFmtId="0" fontId="35" fillId="0" borderId="6" xfId="0" applyFont="1" applyBorder="1" applyAlignment="1">
      <alignment horizontal="center" vertical="center" wrapText="1"/>
    </xf>
    <xf numFmtId="0" fontId="35" fillId="0" borderId="7" xfId="0" applyFont="1" applyBorder="1" applyAlignment="1">
      <alignment horizontal="center" vertical="center" wrapText="1"/>
    </xf>
    <xf numFmtId="0" fontId="35" fillId="0" borderId="8" xfId="0" applyFont="1" applyBorder="1" applyAlignment="1">
      <alignment horizontal="center" vertical="center" wrapText="1"/>
    </xf>
    <xf numFmtId="4" fontId="42" fillId="0" borderId="3" xfId="0" applyNumberFormat="1" applyFont="1" applyBorder="1" applyAlignment="1">
      <alignment horizontal="center" vertical="center" wrapText="1"/>
    </xf>
    <xf numFmtId="0" fontId="42" fillId="0" borderId="5" xfId="0" applyFont="1" applyBorder="1" applyAlignment="1">
      <alignment horizontal="center" vertical="center" wrapText="1"/>
    </xf>
    <xf numFmtId="10" fontId="42" fillId="0" borderId="1" xfId="0" applyNumberFormat="1" applyFont="1" applyBorder="1" applyAlignment="1">
      <alignment horizontal="center" vertical="center" wrapText="1"/>
    </xf>
    <xf numFmtId="0" fontId="42"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32" fillId="0" borderId="1" xfId="0" applyFont="1" applyBorder="1" applyAlignment="1">
      <alignment horizontal="center" vertical="center" wrapText="1"/>
    </xf>
    <xf numFmtId="0" fontId="32" fillId="0" borderId="10" xfId="0" applyFont="1" applyBorder="1" applyAlignment="1">
      <alignment horizontal="center" vertical="center" wrapText="1"/>
    </xf>
    <xf numFmtId="0" fontId="40" fillId="0" borderId="15" xfId="0" applyFont="1" applyBorder="1" applyAlignment="1">
      <alignment horizontal="center" vertical="center" wrapText="1"/>
    </xf>
    <xf numFmtId="0" fontId="40" fillId="0" borderId="9" xfId="0" applyFont="1" applyBorder="1" applyAlignment="1">
      <alignment horizontal="center" vertical="center" wrapText="1"/>
    </xf>
    <xf numFmtId="0" fontId="35" fillId="10" borderId="1" xfId="0" applyFont="1" applyFill="1" applyBorder="1" applyAlignment="1">
      <alignment horizontal="center" vertical="center" wrapText="1"/>
    </xf>
    <xf numFmtId="0" fontId="35" fillId="10" borderId="1" xfId="0" applyFont="1" applyFill="1" applyBorder="1" applyAlignment="1">
      <alignment horizontal="center" vertical="center"/>
    </xf>
    <xf numFmtId="0" fontId="7" fillId="0" borderId="15" xfId="0" applyFont="1" applyBorder="1" applyAlignment="1">
      <alignment horizontal="center" vertical="center" wrapText="1"/>
    </xf>
    <xf numFmtId="43" fontId="33" fillId="0" borderId="10" xfId="1" applyFont="1" applyBorder="1" applyAlignment="1">
      <alignment horizontal="center"/>
    </xf>
    <xf numFmtId="43" fontId="33" fillId="0" borderId="15" xfId="1" applyFont="1" applyBorder="1" applyAlignment="1">
      <alignment horizontal="center"/>
    </xf>
    <xf numFmtId="43" fontId="33" fillId="0" borderId="9" xfId="1" applyFont="1" applyBorder="1" applyAlignment="1">
      <alignment horizontal="center"/>
    </xf>
    <xf numFmtId="0" fontId="33" fillId="0" borderId="1" xfId="0" quotePrefix="1" applyFont="1" applyBorder="1" applyAlignment="1">
      <alignment horizontal="center"/>
    </xf>
    <xf numFmtId="0" fontId="0" fillId="2" borderId="0" xfId="0" applyFill="1" applyAlignment="1">
      <alignment horizontal="center"/>
    </xf>
    <xf numFmtId="43" fontId="46" fillId="0" borderId="1" xfId="1" applyFont="1" applyFill="1" applyBorder="1" applyAlignment="1"/>
    <xf numFmtId="0" fontId="50" fillId="0" borderId="10" xfId="0" applyFont="1" applyBorder="1" applyAlignment="1">
      <alignment horizontal="left"/>
    </xf>
    <xf numFmtId="0" fontId="50" fillId="0" borderId="15" xfId="0" applyFont="1" applyBorder="1" applyAlignment="1">
      <alignment horizontal="left"/>
    </xf>
    <xf numFmtId="0" fontId="50" fillId="0" borderId="9" xfId="0" applyFont="1" applyBorder="1" applyAlignment="1">
      <alignment horizontal="left"/>
    </xf>
    <xf numFmtId="43" fontId="46" fillId="0" borderId="10" xfId="1" applyFont="1" applyFill="1" applyBorder="1" applyAlignment="1"/>
    <xf numFmtId="43" fontId="46" fillId="0" borderId="15" xfId="1" applyFont="1" applyFill="1" applyBorder="1" applyAlignment="1"/>
    <xf numFmtId="43" fontId="46" fillId="0" borderId="9" xfId="1" applyFont="1" applyFill="1" applyBorder="1" applyAlignment="1"/>
    <xf numFmtId="0" fontId="33" fillId="0" borderId="0" xfId="0" applyFont="1" applyAlignment="1">
      <alignment horizontal="center" wrapText="1"/>
    </xf>
    <xf numFmtId="174" fontId="16" fillId="0" borderId="0" xfId="1" applyNumberFormat="1" applyFont="1" applyBorder="1" applyAlignment="1">
      <alignment horizontal="center" vertical="center" wrapText="1"/>
    </xf>
    <xf numFmtId="0" fontId="25" fillId="0" borderId="1" xfId="0" applyFont="1" applyBorder="1" applyAlignment="1">
      <alignment horizontal="center"/>
    </xf>
    <xf numFmtId="0" fontId="3" fillId="0" borderId="10" xfId="0" applyFont="1" applyBorder="1" applyAlignment="1">
      <alignment horizontal="center" vertical="center" wrapText="1"/>
    </xf>
    <xf numFmtId="0" fontId="35" fillId="0" borderId="15" xfId="0" applyFont="1" applyBorder="1" applyAlignment="1">
      <alignment horizontal="center" vertical="center" wrapText="1"/>
    </xf>
    <xf numFmtId="174" fontId="16" fillId="0" borderId="1" xfId="1" applyNumberFormat="1" applyFont="1" applyBorder="1" applyAlignment="1">
      <alignment horizontal="center" vertical="center" wrapText="1"/>
    </xf>
    <xf numFmtId="0" fontId="0" fillId="0" borderId="10" xfId="0" applyBorder="1" applyAlignment="1">
      <alignment horizontal="center" vertical="center" wrapText="1"/>
    </xf>
    <xf numFmtId="0" fontId="0" fillId="0" borderId="9" xfId="0" applyBorder="1" applyAlignment="1">
      <alignment horizontal="center" vertical="center" wrapText="1"/>
    </xf>
    <xf numFmtId="0" fontId="0" fillId="0" borderId="2" xfId="0" applyBorder="1" applyAlignment="1">
      <alignment horizontal="center" vertical="center" wrapText="1"/>
    </xf>
    <xf numFmtId="0" fontId="0" fillId="0" borderId="1" xfId="0" applyBorder="1" applyAlignment="1">
      <alignment horizontal="center"/>
    </xf>
    <xf numFmtId="0" fontId="34" fillId="0" borderId="10" xfId="0" applyFont="1" applyBorder="1" applyAlignment="1">
      <alignment horizontal="center"/>
    </xf>
    <xf numFmtId="0" fontId="34" fillId="0" borderId="9" xfId="0" applyFont="1" applyBorder="1" applyAlignment="1">
      <alignment horizontal="center"/>
    </xf>
    <xf numFmtId="0" fontId="40" fillId="0" borderId="7" xfId="0" applyFont="1" applyBorder="1" applyAlignment="1">
      <alignment horizontal="center" vertical="center"/>
    </xf>
    <xf numFmtId="0" fontId="34" fillId="0" borderId="0" xfId="0" applyFont="1" applyAlignment="1">
      <alignment horizontal="center"/>
    </xf>
  </cellXfs>
  <cellStyles count="6">
    <cellStyle name="Lien hypertexte" xfId="5" builtinId="8"/>
    <cellStyle name="Milliers" xfId="1" builtinId="3"/>
    <cellStyle name="Normal" xfId="0" builtinId="0"/>
    <cellStyle name="Normal 2" xfId="4" xr:uid="{FC9990B0-FDDB-406E-B325-AA7D39AD83C2}"/>
    <cellStyle name="Normal_LAMA"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118</xdr:row>
          <xdr:rowOff>0</xdr:rowOff>
        </xdr:from>
        <xdr:to>
          <xdr:col>6</xdr:col>
          <xdr:colOff>885825</xdr:colOff>
          <xdr:row>123</xdr:row>
          <xdr:rowOff>0</xdr:rowOff>
        </xdr:to>
        <xdr:sp macro="" textlink="">
          <xdr:nvSpPr>
            <xdr:cNvPr id="99329" name="Object 1" hidden="1">
              <a:extLst>
                <a:ext uri="{63B3BB69-23CF-44E3-9099-C40C66FF867C}">
                  <a14:compatExt spid="_x0000_s99329"/>
                </a:ext>
                <a:ext uri="{FF2B5EF4-FFF2-40B4-BE49-F238E27FC236}">
                  <a16:creationId xmlns:a16="http://schemas.microsoft.com/office/drawing/2014/main" id="{00000000-0008-0000-0100-0000018401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twoCellAnchor>
    <xdr:from>
      <xdr:col>5</xdr:col>
      <xdr:colOff>1181100</xdr:colOff>
      <xdr:row>332</xdr:row>
      <xdr:rowOff>180975</xdr:rowOff>
    </xdr:from>
    <xdr:to>
      <xdr:col>6</xdr:col>
      <xdr:colOff>1104900</xdr:colOff>
      <xdr:row>339</xdr:row>
      <xdr:rowOff>142875</xdr:rowOff>
    </xdr:to>
    <xdr:cxnSp macro="">
      <xdr:nvCxnSpPr>
        <xdr:cNvPr id="2" name="Connecteur droit avec flèche 1">
          <a:extLst>
            <a:ext uri="{FF2B5EF4-FFF2-40B4-BE49-F238E27FC236}">
              <a16:creationId xmlns:a16="http://schemas.microsoft.com/office/drawing/2014/main" id="{00000000-0008-0000-0100-000002000000}"/>
            </a:ext>
          </a:extLst>
        </xdr:cNvPr>
        <xdr:cNvCxnSpPr/>
      </xdr:nvCxnSpPr>
      <xdr:spPr>
        <a:xfrm flipH="1">
          <a:off x="6324600" y="27251025"/>
          <a:ext cx="127635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1094509</xdr:colOff>
      <xdr:row>37</xdr:row>
      <xdr:rowOff>117764</xdr:rowOff>
    </xdr:from>
    <xdr:to>
      <xdr:col>7</xdr:col>
      <xdr:colOff>235527</xdr:colOff>
      <xdr:row>42</xdr:row>
      <xdr:rowOff>20782</xdr:rowOff>
    </xdr:to>
    <xdr:cxnSp macro="">
      <xdr:nvCxnSpPr>
        <xdr:cNvPr id="3" name="Connecteur droit avec flèche 2">
          <a:extLst>
            <a:ext uri="{FF2B5EF4-FFF2-40B4-BE49-F238E27FC236}">
              <a16:creationId xmlns:a16="http://schemas.microsoft.com/office/drawing/2014/main" id="{416A949E-2CDB-47D8-90DE-ECE0B0AA3C04}"/>
            </a:ext>
          </a:extLst>
        </xdr:cNvPr>
        <xdr:cNvCxnSpPr/>
      </xdr:nvCxnSpPr>
      <xdr:spPr>
        <a:xfrm flipV="1">
          <a:off x="7933459" y="7737764"/>
          <a:ext cx="807893" cy="85551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2047875</xdr:colOff>
      <xdr:row>118</xdr:row>
      <xdr:rowOff>9525</xdr:rowOff>
    </xdr:from>
    <xdr:to>
      <xdr:col>5</xdr:col>
      <xdr:colOff>304800</xdr:colOff>
      <xdr:row>120</xdr:row>
      <xdr:rowOff>9525</xdr:rowOff>
    </xdr:to>
    <xdr:cxnSp macro="">
      <xdr:nvCxnSpPr>
        <xdr:cNvPr id="2" name="Connecteur droit avec flèche 1">
          <a:extLst>
            <a:ext uri="{FF2B5EF4-FFF2-40B4-BE49-F238E27FC236}">
              <a16:creationId xmlns:a16="http://schemas.microsoft.com/office/drawing/2014/main" id="{00000000-0008-0000-0200-000002000000}"/>
            </a:ext>
          </a:extLst>
        </xdr:cNvPr>
        <xdr:cNvCxnSpPr/>
      </xdr:nvCxnSpPr>
      <xdr:spPr>
        <a:xfrm flipV="1">
          <a:off x="6467475" y="120300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3" name="Connecteur droit avec flèche 2">
          <a:extLst>
            <a:ext uri="{FF2B5EF4-FFF2-40B4-BE49-F238E27FC236}">
              <a16:creationId xmlns:a16="http://schemas.microsoft.com/office/drawing/2014/main" id="{00000000-0008-0000-0200-000003000000}"/>
            </a:ext>
          </a:extLst>
        </xdr:cNvPr>
        <xdr:cNvCxnSpPr/>
      </xdr:nvCxnSpPr>
      <xdr:spPr>
        <a:xfrm flipV="1">
          <a:off x="6467475" y="114204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62</xdr:row>
      <xdr:rowOff>0</xdr:rowOff>
    </xdr:from>
    <xdr:to>
      <xdr:col>10</xdr:col>
      <xdr:colOff>546735</xdr:colOff>
      <xdr:row>87</xdr:row>
      <xdr:rowOff>139065</xdr:rowOff>
    </xdr:to>
    <xdr:pic>
      <xdr:nvPicPr>
        <xdr:cNvPr id="2" name="Image 1">
          <a:extLst>
            <a:ext uri="{FF2B5EF4-FFF2-40B4-BE49-F238E27FC236}">
              <a16:creationId xmlns:a16="http://schemas.microsoft.com/office/drawing/2014/main" id="{565F173E-6338-4CCD-B8FD-32C55D3CA078}"/>
            </a:ext>
          </a:extLst>
        </xdr:cNvPr>
        <xdr:cNvPicPr>
          <a:picLocks noChangeAspect="1"/>
        </xdr:cNvPicPr>
      </xdr:nvPicPr>
      <xdr:blipFill>
        <a:blip xmlns:r="http://schemas.openxmlformats.org/officeDocument/2006/relationships" r:embed="rId1"/>
        <a:stretch>
          <a:fillRect/>
        </a:stretch>
      </xdr:blipFill>
      <xdr:spPr>
        <a:xfrm>
          <a:off x="466725" y="27432000"/>
          <a:ext cx="9490710" cy="490156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9</xdr:col>
      <xdr:colOff>401098</xdr:colOff>
      <xdr:row>12</xdr:row>
      <xdr:rowOff>425</xdr:rowOff>
    </xdr:to>
    <xdr:pic>
      <xdr:nvPicPr>
        <xdr:cNvPr id="2" name="Image 1">
          <a:extLst>
            <a:ext uri="{FF2B5EF4-FFF2-40B4-BE49-F238E27FC236}">
              <a16:creationId xmlns:a16="http://schemas.microsoft.com/office/drawing/2014/main" id="{3767C9C1-E6E8-47FB-A46D-D80D7F2B2252}"/>
            </a:ext>
          </a:extLst>
        </xdr:cNvPr>
        <xdr:cNvPicPr>
          <a:picLocks noChangeAspect="1"/>
        </xdr:cNvPicPr>
      </xdr:nvPicPr>
      <xdr:blipFill>
        <a:blip xmlns:r="http://schemas.openxmlformats.org/officeDocument/2006/relationships" r:embed="rId1"/>
        <a:stretch>
          <a:fillRect/>
        </a:stretch>
      </xdr:blipFill>
      <xdr:spPr>
        <a:xfrm>
          <a:off x="762000" y="190500"/>
          <a:ext cx="7506748" cy="20959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9</xdr:col>
      <xdr:colOff>401098</xdr:colOff>
      <xdr:row>12</xdr:row>
      <xdr:rowOff>425</xdr:rowOff>
    </xdr:to>
    <xdr:pic>
      <xdr:nvPicPr>
        <xdr:cNvPr id="2" name="Image 1">
          <a:extLst>
            <a:ext uri="{FF2B5EF4-FFF2-40B4-BE49-F238E27FC236}">
              <a16:creationId xmlns:a16="http://schemas.microsoft.com/office/drawing/2014/main" id="{2203E28E-08F8-45AB-9067-93DE21FFF2DB}"/>
            </a:ext>
          </a:extLst>
        </xdr:cNvPr>
        <xdr:cNvPicPr>
          <a:picLocks noChangeAspect="1"/>
        </xdr:cNvPicPr>
      </xdr:nvPicPr>
      <xdr:blipFill>
        <a:blip xmlns:r="http://schemas.openxmlformats.org/officeDocument/2006/relationships" r:embed="rId1"/>
        <a:stretch>
          <a:fillRect/>
        </a:stretch>
      </xdr:blipFill>
      <xdr:spPr>
        <a:xfrm>
          <a:off x="762000" y="190500"/>
          <a:ext cx="7506748" cy="209592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862176</xdr:colOff>
      <xdr:row>5</xdr:row>
      <xdr:rowOff>32845</xdr:rowOff>
    </xdr:from>
    <xdr:to>
      <xdr:col>1</xdr:col>
      <xdr:colOff>862176</xdr:colOff>
      <xdr:row>6</xdr:row>
      <xdr:rowOff>147801</xdr:rowOff>
    </xdr:to>
    <xdr:cxnSp macro="">
      <xdr:nvCxnSpPr>
        <xdr:cNvPr id="2" name="Connecteur droit avec flèche 1">
          <a:extLst>
            <a:ext uri="{FF2B5EF4-FFF2-40B4-BE49-F238E27FC236}">
              <a16:creationId xmlns:a16="http://schemas.microsoft.com/office/drawing/2014/main" id="{00000000-0008-0000-0700-000002000000}"/>
            </a:ext>
          </a:extLst>
        </xdr:cNvPr>
        <xdr:cNvCxnSpPr/>
      </xdr:nvCxnSpPr>
      <xdr:spPr>
        <a:xfrm>
          <a:off x="1043151" y="1413970"/>
          <a:ext cx="0" cy="305456"/>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484910</xdr:colOff>
      <xdr:row>5</xdr:row>
      <xdr:rowOff>34636</xdr:rowOff>
    </xdr:from>
    <xdr:to>
      <xdr:col>6</xdr:col>
      <xdr:colOff>95250</xdr:colOff>
      <xdr:row>6</xdr:row>
      <xdr:rowOff>95250</xdr:rowOff>
    </xdr:to>
    <xdr:cxnSp macro="">
      <xdr:nvCxnSpPr>
        <xdr:cNvPr id="4" name="Connecteur droit avec flèche 3">
          <a:extLst>
            <a:ext uri="{FF2B5EF4-FFF2-40B4-BE49-F238E27FC236}">
              <a16:creationId xmlns:a16="http://schemas.microsoft.com/office/drawing/2014/main" id="{00000000-0008-0000-0700-000004000000}"/>
            </a:ext>
          </a:extLst>
        </xdr:cNvPr>
        <xdr:cNvCxnSpPr/>
      </xdr:nvCxnSpPr>
      <xdr:spPr>
        <a:xfrm>
          <a:off x="6433705" y="987136"/>
          <a:ext cx="372340" cy="251114"/>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588819</xdr:colOff>
      <xdr:row>11</xdr:row>
      <xdr:rowOff>95250</xdr:rowOff>
    </xdr:from>
    <xdr:to>
      <xdr:col>8</xdr:col>
      <xdr:colOff>190500</xdr:colOff>
      <xdr:row>12</xdr:row>
      <xdr:rowOff>51954</xdr:rowOff>
    </xdr:to>
    <xdr:cxnSp macro="">
      <xdr:nvCxnSpPr>
        <xdr:cNvPr id="6" name="Connecteur droit avec flèche 5">
          <a:extLst>
            <a:ext uri="{FF2B5EF4-FFF2-40B4-BE49-F238E27FC236}">
              <a16:creationId xmlns:a16="http://schemas.microsoft.com/office/drawing/2014/main" id="{00000000-0008-0000-0700-000006000000}"/>
            </a:ext>
          </a:extLst>
        </xdr:cNvPr>
        <xdr:cNvCxnSpPr/>
      </xdr:nvCxnSpPr>
      <xdr:spPr>
        <a:xfrm flipH="1">
          <a:off x="8061614" y="2320636"/>
          <a:ext cx="363681" cy="27709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225137</xdr:colOff>
      <xdr:row>11</xdr:row>
      <xdr:rowOff>129887</xdr:rowOff>
    </xdr:from>
    <xdr:to>
      <xdr:col>8</xdr:col>
      <xdr:colOff>502228</xdr:colOff>
      <xdr:row>12</xdr:row>
      <xdr:rowOff>95250</xdr:rowOff>
    </xdr:to>
    <xdr:cxnSp macro="">
      <xdr:nvCxnSpPr>
        <xdr:cNvPr id="8" name="Connecteur droit avec flèche 7">
          <a:extLst>
            <a:ext uri="{FF2B5EF4-FFF2-40B4-BE49-F238E27FC236}">
              <a16:creationId xmlns:a16="http://schemas.microsoft.com/office/drawing/2014/main" id="{00000000-0008-0000-0700-000008000000}"/>
            </a:ext>
          </a:extLst>
        </xdr:cNvPr>
        <xdr:cNvCxnSpPr/>
      </xdr:nvCxnSpPr>
      <xdr:spPr>
        <a:xfrm>
          <a:off x="8459932" y="2355273"/>
          <a:ext cx="277091" cy="2857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Bienvenue\Desktop\PAIE%202022\BLOG%20DE%20LA%20PAIE\DOSSIER%20MALADIE\EXERCICES%20MALADIE%202020\3.%20MALADIE%20%20202N%20%20BULLETIN%20DE%20PAIE%20CORRECTION%20%20.xlsx" TargetMode="External"/><Relationship Id="rId1" Type="http://schemas.openxmlformats.org/officeDocument/2006/relationships/externalLinkPath" Target="https://d.docs.live.net/Users/Bienvenue/Desktop/PAIE%202022/BLOG%20DE%20LA%20PAIE/DOSSIER%20MALADIE/EXERCICES%20MALADIE%202020/3.%20MALADIE%20%20202N%20%20BULLETIN%20DE%20PAIE%20CORRECTION%20%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Users\Bienvenue\Desktop\ENVOI%20STAGAIRES\ASSIA\MAQUETTE%20CADRE%20%202019%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d.docs.live.net/Users/Bienvenue/Desktop/PAIE%202020/FICHIERS%20DEFINITIFS%20PRETS%20A%20IMPRIMER/TR/EXERCICE%205/1.%202020.%20EXERCICE%2053%20TR%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1"/>
      <sheetName val="TAUX NEUTRE 2018 "/>
      <sheetName val="PAS "/>
      <sheetName val="PRE CALCUL  "/>
      <sheetName val="SUBROGATION "/>
      <sheetName val="NON SUBROGATION "/>
      <sheetName val="MATRICE PRESENTATION IJS EXAM"/>
      <sheetName val="MALADIE ENONCE"/>
      <sheetName val="MALADIE ENONCE CORRIGE "/>
      <sheetName val="MATRICE 1"/>
      <sheetName val="REDUCTION GENERALE  HYP 5 "/>
      <sheetName val="REDUCTION GENERALE "/>
      <sheetName val="TTAUX 2019 "/>
      <sheetName val="BP 1 202N SUBROG "/>
      <sheetName val="EXERCICE 1 S 202N "/>
      <sheetName val="BP 1 202N NON SUBROG "/>
      <sheetName val="BP 2 202N NON SUBROG "/>
      <sheetName val="BP 2 202N SUBROG "/>
      <sheetName val="BP 3 202N SUBROG "/>
      <sheetName val="BP 3 202N NON SUBRO "/>
      <sheetName val="TAUX NEUTRE 202N "/>
      <sheetName val="BP 4 202N NET HABITUEL  "/>
      <sheetName val="BP 4 202N MAINTIEN DU NET "/>
      <sheetName val="BP HYP 5 "/>
      <sheetName val="SIMUL 1 HYP 5 "/>
      <sheetName val="SIMUL 2 HYP 5 "/>
      <sheetName val="TABLE DES TAUX 2018 "/>
      <sheetName val="TT 2018"/>
    </sheetNames>
    <sheetDataSet>
      <sheetData sheetId="0"/>
      <sheetData sheetId="1"/>
      <sheetData sheetId="2"/>
      <sheetData sheetId="3"/>
      <sheetData sheetId="4"/>
      <sheetData sheetId="5"/>
      <sheetData sheetId="6"/>
      <sheetData sheetId="7"/>
      <sheetData sheetId="8"/>
      <sheetData sheetId="9">
        <row r="29">
          <cell r="G29">
            <v>45.9</v>
          </cell>
        </row>
      </sheetData>
      <sheetData sheetId="10"/>
      <sheetData sheetId="11"/>
      <sheetData sheetId="12"/>
      <sheetData sheetId="13">
        <row r="76">
          <cell r="I76">
            <v>1324.8276190476195</v>
          </cell>
        </row>
      </sheetData>
      <sheetData sheetId="14">
        <row r="12">
          <cell r="J12">
            <v>2500</v>
          </cell>
        </row>
      </sheetData>
      <sheetData sheetId="15"/>
      <sheetData sheetId="16">
        <row r="26">
          <cell r="J26">
            <v>2051.1857142857143</v>
          </cell>
        </row>
      </sheetData>
      <sheetData sheetId="17">
        <row r="76">
          <cell r="I76">
            <v>1657.4757142857143</v>
          </cell>
        </row>
      </sheetData>
      <sheetData sheetId="18">
        <row r="26">
          <cell r="J26">
            <v>2086.9</v>
          </cell>
        </row>
        <row r="76">
          <cell r="I76">
            <v>1702.23</v>
          </cell>
        </row>
      </sheetData>
      <sheetData sheetId="19"/>
      <sheetData sheetId="20"/>
      <sheetData sheetId="21"/>
      <sheetData sheetId="22">
        <row r="26">
          <cell r="J26">
            <v>2022.5208696015807</v>
          </cell>
        </row>
        <row r="76">
          <cell r="I76">
            <v>1634.3008696015806</v>
          </cell>
        </row>
      </sheetData>
      <sheetData sheetId="23"/>
      <sheetData sheetId="24">
        <row r="12">
          <cell r="J12">
            <v>2500</v>
          </cell>
        </row>
        <row r="13">
          <cell r="J13">
            <v>-952.38095238095241</v>
          </cell>
        </row>
        <row r="14">
          <cell r="J14">
            <v>595.23809523809518</v>
          </cell>
        </row>
        <row r="67">
          <cell r="I67">
            <v>1647.18</v>
          </cell>
        </row>
      </sheetData>
      <sheetData sheetId="25">
        <row r="67">
          <cell r="I67">
            <v>1711.8271428571431</v>
          </cell>
        </row>
      </sheetData>
      <sheetData sheetId="26"/>
      <sheetData sheetId="2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euil1"/>
      <sheetName val="PREVISIONS ET NOUVELLES REGLES"/>
      <sheetName val="TTAUX 2019 "/>
      <sheetName val="TABLE DES TAUX 2019"/>
      <sheetName val="PRE CALCUL "/>
      <sheetName val="VALEUR CIBLE"/>
    </sheetNames>
    <sheetDataSet>
      <sheetData sheetId="0" refreshError="1"/>
      <sheetData sheetId="1" refreshError="1"/>
      <sheetData sheetId="2" refreshError="1"/>
      <sheetData sheetId="3" refreshError="1">
        <row r="2">
          <cell r="C2">
            <v>7</v>
          </cell>
        </row>
        <row r="12">
          <cell r="C12">
            <v>0.3</v>
          </cell>
        </row>
        <row r="14">
          <cell r="C14">
            <v>1.6E-2</v>
          </cell>
        </row>
        <row r="35">
          <cell r="C35">
            <v>0.68</v>
          </cell>
        </row>
        <row r="37">
          <cell r="C37">
            <v>0.55000000000000004</v>
          </cell>
        </row>
      </sheetData>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TRICE CALCUL JOURS "/>
      <sheetName val="BP MAQUETTE "/>
      <sheetName val="EXPLICATIONS ENONCE 1  H SUPPL"/>
      <sheetName val="INFOS COMPTABILISATION "/>
      <sheetName val="MODE OPERATOIRE "/>
      <sheetName val="BP COMMENTE "/>
      <sheetName val="ENONCE TR 5 "/>
      <sheetName val="ROUTINE TR "/>
      <sheetName val="CORRECTION TR 5  "/>
      <sheetName val="DONNEES "/>
      <sheetName val="HEURES SUPPLEMENTAIRES "/>
      <sheetName val="BP JANV."/>
      <sheetName val="DISPATCH RED GEN DE COT PAT"/>
      <sheetName val="SUIVI RETRAITE "/>
      <sheetName val="SAISIE PRIMES "/>
      <sheetName val="REDUCTION GENERALE DE COT.  "/>
      <sheetName val="SYNTHESES TABLEAUX DE SUIVI "/>
      <sheetName val="BP  JANV. COMMENTE 1   "/>
      <sheetName val="TAUX NEUTRE  2020"/>
      <sheetName val="ROUTINE LIMITE CSG CRDS "/>
      <sheetName val="SUIVI 2.5  SMIC   "/>
      <sheetName val="SUIVI ALLOCATIONS FAMILIALES "/>
      <sheetName val="SUIVI RED GEN DE COT PAT "/>
      <sheetName val="TABLE 2020 "/>
      <sheetName val="EXERCICE 1 "/>
      <sheetName val="BP JANV COMMENTE  2"/>
      <sheetName val="BP FEVRIER    "/>
      <sheetName val="BP MARS   "/>
      <sheetName val="BP AVRIL    "/>
      <sheetName val="BP MAI     "/>
      <sheetName val="BP  JUIN "/>
      <sheetName val="BP JUILLET "/>
      <sheetName val="BP AOUT "/>
      <sheetName val="BP SEPTEMBRE "/>
      <sheetName val="BP OCTOBRE "/>
      <sheetName val="BP NOVEMBRE "/>
      <sheetName val="BP DECEMBRE "/>
      <sheetName val="Feuil1"/>
      <sheetName val="BP "/>
    </sheetNames>
    <sheetDataSet>
      <sheetData sheetId="0"/>
      <sheetData sheetId="1"/>
      <sheetData sheetId="2"/>
      <sheetData sheetId="3"/>
      <sheetData sheetId="4"/>
      <sheetData sheetId="5"/>
      <sheetData sheetId="6"/>
      <sheetData sheetId="7"/>
      <sheetData sheetId="8"/>
      <sheetData sheetId="9"/>
      <sheetData sheetId="10">
        <row r="83">
          <cell r="G83">
            <v>0</v>
          </cell>
          <cell r="J83">
            <v>0</v>
          </cell>
          <cell r="L83">
            <v>0</v>
          </cell>
          <cell r="M83">
            <v>0</v>
          </cell>
          <cell r="N83">
            <v>0</v>
          </cell>
          <cell r="O83">
            <v>0</v>
          </cell>
          <cell r="P83">
            <v>0</v>
          </cell>
        </row>
        <row r="85">
          <cell r="J85" t="e">
            <v>#DIV/0!</v>
          </cell>
        </row>
      </sheetData>
      <sheetData sheetId="11"/>
      <sheetData sheetId="12"/>
      <sheetData sheetId="13">
        <row r="7">
          <cell r="B7">
            <v>4910.7999999999993</v>
          </cell>
          <cell r="C7">
            <v>3428</v>
          </cell>
        </row>
        <row r="8">
          <cell r="B8">
            <v>0</v>
          </cell>
          <cell r="C8">
            <v>0</v>
          </cell>
        </row>
        <row r="9">
          <cell r="B9" t="e">
            <v>#DIV/0!</v>
          </cell>
          <cell r="C9">
            <v>0</v>
          </cell>
        </row>
        <row r="10">
          <cell r="B10" t="e">
            <v>#DIV/0!</v>
          </cell>
          <cell r="C10">
            <v>0</v>
          </cell>
        </row>
        <row r="11">
          <cell r="B11" t="e">
            <v>#DIV/0!</v>
          </cell>
          <cell r="C11">
            <v>0</v>
          </cell>
        </row>
        <row r="12">
          <cell r="B12" t="e">
            <v>#DIV/0!</v>
          </cell>
          <cell r="C12">
            <v>0</v>
          </cell>
        </row>
        <row r="13">
          <cell r="B13" t="e">
            <v>#DIV/0!</v>
          </cell>
          <cell r="C13">
            <v>0</v>
          </cell>
        </row>
        <row r="14">
          <cell r="B14" t="e">
            <v>#DIV/0!</v>
          </cell>
          <cell r="C14">
            <v>0</v>
          </cell>
        </row>
        <row r="15">
          <cell r="B15" t="e">
            <v>#DIV/0!</v>
          </cell>
          <cell r="C15">
            <v>0</v>
          </cell>
        </row>
        <row r="16">
          <cell r="B16" t="e">
            <v>#DIV/0!</v>
          </cell>
          <cell r="C16">
            <v>0</v>
          </cell>
        </row>
        <row r="17">
          <cell r="B17" t="e">
            <v>#DIV/0!</v>
          </cell>
          <cell r="C17">
            <v>0</v>
          </cell>
        </row>
        <row r="18">
          <cell r="B18" t="e">
            <v>#DIV/0!</v>
          </cell>
          <cell r="C18">
            <v>0</v>
          </cell>
        </row>
        <row r="19">
          <cell r="B19" t="e">
            <v>#DIV/0!</v>
          </cell>
        </row>
      </sheetData>
      <sheetData sheetId="14"/>
      <sheetData sheetId="15"/>
      <sheetData sheetId="16"/>
      <sheetData sheetId="17">
        <row r="80">
          <cell r="G80">
            <v>0</v>
          </cell>
        </row>
        <row r="81">
          <cell r="G81">
            <v>0</v>
          </cell>
        </row>
        <row r="82">
          <cell r="G82">
            <v>98.22</v>
          </cell>
        </row>
        <row r="83">
          <cell r="G83">
            <v>0</v>
          </cell>
        </row>
        <row r="84">
          <cell r="G84">
            <v>147.32</v>
          </cell>
        </row>
        <row r="85">
          <cell r="G85">
            <v>0</v>
          </cell>
        </row>
      </sheetData>
      <sheetData sheetId="18"/>
      <sheetData sheetId="19"/>
      <sheetData sheetId="20"/>
      <sheetData sheetId="21"/>
      <sheetData sheetId="22"/>
      <sheetData sheetId="23"/>
      <sheetData sheetId="24"/>
      <sheetData sheetId="25"/>
      <sheetData sheetId="26">
        <row r="59">
          <cell r="J59">
            <v>0</v>
          </cell>
        </row>
        <row r="60">
          <cell r="J60">
            <v>0</v>
          </cell>
        </row>
        <row r="61">
          <cell r="J61">
            <v>0</v>
          </cell>
        </row>
        <row r="62">
          <cell r="J62">
            <v>0</v>
          </cell>
        </row>
        <row r="63">
          <cell r="J63">
            <v>0</v>
          </cell>
        </row>
        <row r="79">
          <cell r="G79">
            <v>0</v>
          </cell>
        </row>
        <row r="80">
          <cell r="G80">
            <v>0</v>
          </cell>
        </row>
        <row r="81">
          <cell r="G81">
            <v>0</v>
          </cell>
        </row>
        <row r="82">
          <cell r="G82">
            <v>0</v>
          </cell>
        </row>
        <row r="83">
          <cell r="G83">
            <v>0</v>
          </cell>
        </row>
        <row r="84">
          <cell r="G84">
            <v>0</v>
          </cell>
        </row>
        <row r="85">
          <cell r="G85">
            <v>0</v>
          </cell>
        </row>
        <row r="102">
          <cell r="C102">
            <v>0</v>
          </cell>
        </row>
      </sheetData>
      <sheetData sheetId="27">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5">
          <cell r="G85" t="e">
            <v>#DIV/0!</v>
          </cell>
        </row>
        <row r="102">
          <cell r="C102" t="e">
            <v>#DIV/0!</v>
          </cell>
        </row>
        <row r="105">
          <cell r="F105" t="e">
            <v>#DIV/0!</v>
          </cell>
        </row>
        <row r="106">
          <cell r="F106" t="e">
            <v>#DIV/0!</v>
          </cell>
        </row>
        <row r="107">
          <cell r="F107" t="e">
            <v>#DIV/0!</v>
          </cell>
        </row>
        <row r="108">
          <cell r="F108">
            <v>0</v>
          </cell>
        </row>
        <row r="109">
          <cell r="F109" t="e">
            <v>#DIV/0!</v>
          </cell>
        </row>
        <row r="113">
          <cell r="F113" t="e">
            <v>#DIV/0!</v>
          </cell>
        </row>
      </sheetData>
      <sheetData sheetId="28">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5">
          <cell r="G85" t="e">
            <v>#DIV/0!</v>
          </cell>
        </row>
        <row r="102">
          <cell r="C102" t="e">
            <v>#DIV/0!</v>
          </cell>
        </row>
        <row r="105">
          <cell r="F105" t="e">
            <v>#DIV/0!</v>
          </cell>
        </row>
        <row r="106">
          <cell r="F106" t="e">
            <v>#DIV/0!</v>
          </cell>
        </row>
        <row r="107">
          <cell r="F107" t="e">
            <v>#DIV/0!</v>
          </cell>
        </row>
        <row r="109">
          <cell r="F109" t="e">
            <v>#DIV/0!</v>
          </cell>
        </row>
        <row r="113">
          <cell r="F113" t="e">
            <v>#DIV/0!</v>
          </cell>
        </row>
      </sheetData>
      <sheetData sheetId="29">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7">
          <cell r="G87" t="e">
            <v>#DIV/0!</v>
          </cell>
        </row>
        <row r="102">
          <cell r="C102" t="e">
            <v>#DIV/0!</v>
          </cell>
          <cell r="F102"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0">
        <row r="10">
          <cell r="B10">
            <v>0</v>
          </cell>
        </row>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7">
          <cell r="G87" t="e">
            <v>#DIV/0!</v>
          </cell>
        </row>
        <row r="102">
          <cell r="C102"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1">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7">
          <cell r="G87" t="e">
            <v>#DIV/0!</v>
          </cell>
        </row>
        <row r="102">
          <cell r="C102"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2">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3">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4">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5">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6">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7"/>
      <sheetData sheetId="38"/>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rfpaye.grouperf.com/lien_spad/?base=LEGI&amp;orig=REVUE_RF_FH&amp;code=LEGITEXT000006069577&amp;numero=80%20quinquies&amp;idspad=LEGIARTI000021629283" TargetMode="External"/><Relationship Id="rId6" Type="http://schemas.openxmlformats.org/officeDocument/2006/relationships/image" Target="../media/image1.emf"/><Relationship Id="rId5" Type="http://schemas.openxmlformats.org/officeDocument/2006/relationships/package" Target="../embeddings/Microsoft_Word_Document.docx"/><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A46732-0886-428C-9581-04C23F82E4AD}">
  <dimension ref="B1:N139"/>
  <sheetViews>
    <sheetView workbookViewId="0">
      <selection activeCell="D58" sqref="D58"/>
    </sheetView>
  </sheetViews>
  <sheetFormatPr baseColWidth="10" defaultColWidth="11.42578125" defaultRowHeight="15" x14ac:dyDescent="0.25"/>
  <cols>
    <col min="1" max="1" width="11.42578125" style="60"/>
    <col min="2" max="2" width="25.42578125" style="60" customWidth="1"/>
    <col min="3" max="3" width="23" style="60" customWidth="1"/>
    <col min="4" max="4" width="17.140625" style="60" bestFit="1" customWidth="1"/>
    <col min="5" max="6" width="15.5703125" style="60" customWidth="1"/>
    <col min="7" max="7" width="16.140625" style="60" customWidth="1"/>
    <col min="8" max="8" width="11.42578125" style="60"/>
    <col min="9" max="9" width="17.28515625" style="60" customWidth="1"/>
    <col min="10" max="10" width="7.7109375" style="60" customWidth="1"/>
    <col min="11" max="12" width="8" style="60" customWidth="1"/>
    <col min="13" max="13" width="7.85546875" style="60" customWidth="1"/>
    <col min="14" max="16384" width="11.42578125" style="60"/>
  </cols>
  <sheetData>
    <row r="1" spans="2:14" ht="20.45" x14ac:dyDescent="0.35">
      <c r="B1" s="604" t="s">
        <v>599</v>
      </c>
      <c r="C1" s="604"/>
      <c r="D1" s="604"/>
      <c r="E1" s="604"/>
      <c r="F1" s="604"/>
      <c r="G1" s="604"/>
      <c r="H1" s="604"/>
      <c r="I1" s="604"/>
      <c r="J1" s="604"/>
    </row>
    <row r="3" spans="2:14" ht="13.9" x14ac:dyDescent="0.25">
      <c r="B3" s="60" t="s">
        <v>663</v>
      </c>
    </row>
    <row r="4" spans="2:14" ht="13.9" x14ac:dyDescent="0.25">
      <c r="B4" s="60" t="s">
        <v>664</v>
      </c>
    </row>
    <row r="6" spans="2:14" x14ac:dyDescent="0.25">
      <c r="B6" s="60" t="s">
        <v>600</v>
      </c>
      <c r="E6" s="60" t="s">
        <v>466</v>
      </c>
    </row>
    <row r="8" spans="2:14" ht="13.9" x14ac:dyDescent="0.25">
      <c r="B8" s="60" t="s">
        <v>467</v>
      </c>
      <c r="E8" s="455">
        <v>2500</v>
      </c>
    </row>
    <row r="10" spans="2:14" x14ac:dyDescent="0.25">
      <c r="B10" s="60" t="s">
        <v>601</v>
      </c>
      <c r="N10" s="62"/>
    </row>
    <row r="11" spans="2:14" ht="13.9" x14ac:dyDescent="0.25">
      <c r="N11" s="62"/>
    </row>
    <row r="12" spans="2:14" x14ac:dyDescent="0.25">
      <c r="B12" s="60" t="s">
        <v>468</v>
      </c>
      <c r="N12" s="62"/>
    </row>
    <row r="13" spans="2:14" ht="13.9" x14ac:dyDescent="0.25">
      <c r="N13" s="62"/>
    </row>
    <row r="14" spans="2:14" ht="30.75" customHeight="1" x14ac:dyDescent="0.25">
      <c r="B14" s="478" t="s">
        <v>470</v>
      </c>
      <c r="C14" s="478" t="s">
        <v>424</v>
      </c>
      <c r="D14" s="478" t="s">
        <v>471</v>
      </c>
      <c r="E14" s="478" t="s">
        <v>472</v>
      </c>
      <c r="F14" s="478" t="s">
        <v>93</v>
      </c>
      <c r="N14" s="62"/>
    </row>
    <row r="15" spans="2:14" ht="19.5" customHeight="1" x14ac:dyDescent="0.25">
      <c r="B15" s="39" t="s">
        <v>473</v>
      </c>
      <c r="C15" s="39" t="s">
        <v>153</v>
      </c>
      <c r="D15" s="479">
        <v>2500</v>
      </c>
      <c r="E15" s="479">
        <v>300</v>
      </c>
      <c r="F15" s="479">
        <f>D15+E15</f>
        <v>2800</v>
      </c>
      <c r="N15" s="62"/>
    </row>
    <row r="16" spans="2:14" ht="21.75" customHeight="1" x14ac:dyDescent="0.25">
      <c r="B16" s="39" t="s">
        <v>473</v>
      </c>
      <c r="C16" s="39" t="s">
        <v>142</v>
      </c>
      <c r="D16" s="479">
        <v>2500</v>
      </c>
      <c r="E16" s="479"/>
      <c r="F16" s="479">
        <f>SUM(D16:E16)</f>
        <v>2500</v>
      </c>
    </row>
    <row r="17" spans="2:8" ht="24.75" customHeight="1" x14ac:dyDescent="0.25">
      <c r="B17" s="39" t="s">
        <v>427</v>
      </c>
      <c r="C17" s="39" t="s">
        <v>402</v>
      </c>
      <c r="D17" s="479">
        <v>2300</v>
      </c>
      <c r="E17" s="479">
        <v>1000</v>
      </c>
      <c r="F17" s="479">
        <f>SUM(D17:E17)</f>
        <v>3300</v>
      </c>
    </row>
    <row r="19" spans="2:8" x14ac:dyDescent="0.25">
      <c r="B19" s="60" t="s">
        <v>604</v>
      </c>
    </row>
    <row r="20" spans="2:8" ht="30.75" customHeight="1" x14ac:dyDescent="0.25"/>
    <row r="21" spans="2:8" ht="30.75" customHeight="1" x14ac:dyDescent="0.25">
      <c r="B21" s="60" t="s">
        <v>605</v>
      </c>
    </row>
    <row r="22" spans="2:8" ht="30.75" customHeight="1" x14ac:dyDescent="0.25">
      <c r="C22" s="60" t="s">
        <v>606</v>
      </c>
      <c r="E22" s="514">
        <v>0.01</v>
      </c>
      <c r="F22" s="39" t="s">
        <v>85</v>
      </c>
      <c r="G22" s="514">
        <v>0.02</v>
      </c>
      <c r="H22" s="39" t="s">
        <v>86</v>
      </c>
    </row>
    <row r="23" spans="2:8" ht="30.75" customHeight="1" x14ac:dyDescent="0.25">
      <c r="C23" s="60" t="s">
        <v>607</v>
      </c>
      <c r="E23" s="514">
        <v>0.01</v>
      </c>
      <c r="F23" s="39" t="s">
        <v>85</v>
      </c>
      <c r="G23" s="514">
        <v>0.02</v>
      </c>
      <c r="H23" s="39" t="s">
        <v>86</v>
      </c>
    </row>
    <row r="24" spans="2:8" ht="30.75" customHeight="1" x14ac:dyDescent="0.25"/>
    <row r="25" spans="2:8" ht="30.75" customHeight="1" x14ac:dyDescent="0.25">
      <c r="B25" s="39" t="s">
        <v>608</v>
      </c>
      <c r="C25" s="515">
        <v>1.7999999999999999E-2</v>
      </c>
    </row>
    <row r="26" spans="2:8" ht="30.75" customHeight="1" x14ac:dyDescent="0.25">
      <c r="B26" s="39" t="s">
        <v>609</v>
      </c>
      <c r="C26" s="515">
        <v>3.2000000000000001E-2</v>
      </c>
    </row>
    <row r="27" spans="2:8" x14ac:dyDescent="0.25">
      <c r="B27" s="39" t="s">
        <v>610</v>
      </c>
      <c r="C27" s="39">
        <v>6</v>
      </c>
      <c r="D27" s="39" t="s">
        <v>85</v>
      </c>
      <c r="E27" s="39">
        <v>6</v>
      </c>
      <c r="F27" s="39" t="s">
        <v>86</v>
      </c>
    </row>
    <row r="28" spans="2:8" ht="30" x14ac:dyDescent="0.25">
      <c r="B28" s="39" t="s">
        <v>611</v>
      </c>
      <c r="C28" s="539">
        <f>'TABLE DES TAUX 2026 '!D66/2</f>
        <v>45.4</v>
      </c>
    </row>
    <row r="30" spans="2:8" x14ac:dyDescent="0.25">
      <c r="B30" s="60" t="s">
        <v>463</v>
      </c>
      <c r="D30" s="605" t="s">
        <v>394</v>
      </c>
      <c r="E30" s="605"/>
      <c r="F30" s="477">
        <v>4005</v>
      </c>
    </row>
    <row r="31" spans="2:8" x14ac:dyDescent="0.25">
      <c r="D31" s="605" t="s">
        <v>750</v>
      </c>
      <c r="E31" s="605"/>
      <c r="F31" s="477">
        <v>12.02</v>
      </c>
    </row>
    <row r="32" spans="2:8" x14ac:dyDescent="0.25">
      <c r="D32" s="605" t="s">
        <v>751</v>
      </c>
      <c r="E32" s="605"/>
      <c r="F32" s="382">
        <v>11.88</v>
      </c>
    </row>
    <row r="33" spans="2:5" x14ac:dyDescent="0.25">
      <c r="D33" s="62"/>
      <c r="E33" s="62"/>
    </row>
    <row r="34" spans="2:5" x14ac:dyDescent="0.25">
      <c r="B34" s="60" t="s">
        <v>474</v>
      </c>
    </row>
    <row r="36" spans="2:5" x14ac:dyDescent="0.25">
      <c r="B36" s="60" t="s">
        <v>612</v>
      </c>
    </row>
    <row r="37" spans="2:5" x14ac:dyDescent="0.25">
      <c r="C37" s="60" t="s">
        <v>613</v>
      </c>
    </row>
    <row r="38" spans="2:5" x14ac:dyDescent="0.25">
      <c r="C38" s="60" t="s">
        <v>614</v>
      </c>
    </row>
    <row r="39" spans="2:5" x14ac:dyDescent="0.25">
      <c r="C39" s="60" t="s">
        <v>615</v>
      </c>
    </row>
    <row r="40" spans="2:5" x14ac:dyDescent="0.25">
      <c r="C40" s="60" t="s">
        <v>616</v>
      </c>
    </row>
    <row r="41" spans="2:5" x14ac:dyDescent="0.25">
      <c r="C41" s="60" t="s">
        <v>665</v>
      </c>
    </row>
    <row r="42" spans="2:5" x14ac:dyDescent="0.25">
      <c r="C42" s="60" t="s">
        <v>617</v>
      </c>
    </row>
    <row r="44" spans="2:5" ht="15.75" customHeight="1" x14ac:dyDescent="0.25">
      <c r="B44" s="60" t="s">
        <v>666</v>
      </c>
    </row>
    <row r="45" spans="2:5" ht="15.75" customHeight="1" x14ac:dyDescent="0.25">
      <c r="B45" s="60" t="s">
        <v>667</v>
      </c>
    </row>
    <row r="46" spans="2:5" ht="15.75" customHeight="1" x14ac:dyDescent="0.25">
      <c r="B46" s="60" t="s">
        <v>618</v>
      </c>
    </row>
    <row r="47" spans="2:5" x14ac:dyDescent="0.25">
      <c r="B47" s="60" t="s">
        <v>619</v>
      </c>
    </row>
    <row r="48" spans="2:5" x14ac:dyDescent="0.25">
      <c r="B48" s="60" t="s">
        <v>620</v>
      </c>
    </row>
    <row r="50" spans="2:7" x14ac:dyDescent="0.25">
      <c r="B50" s="492" t="s">
        <v>522</v>
      </c>
      <c r="D50" s="493"/>
      <c r="E50" s="493"/>
      <c r="F50" s="493"/>
    </row>
    <row r="51" spans="2:7" x14ac:dyDescent="0.25">
      <c r="F51" s="65"/>
    </row>
    <row r="52" spans="2:7" x14ac:dyDescent="0.25">
      <c r="C52" s="60" t="s">
        <v>524</v>
      </c>
      <c r="E52" s="60" t="s">
        <v>525</v>
      </c>
    </row>
    <row r="53" spans="2:7" x14ac:dyDescent="0.25">
      <c r="E53" s="60" t="s">
        <v>623</v>
      </c>
      <c r="F53" s="65"/>
    </row>
    <row r="54" spans="2:7" x14ac:dyDescent="0.25">
      <c r="D54" s="494"/>
      <c r="F54" s="65"/>
    </row>
    <row r="56" spans="2:7" ht="34.9" customHeight="1" x14ac:dyDescent="0.25">
      <c r="D56" s="603" t="s">
        <v>621</v>
      </c>
      <c r="E56" s="603"/>
      <c r="F56" s="603"/>
      <c r="G56" s="603"/>
    </row>
    <row r="60" spans="2:7" ht="47.45" hidden="1" customHeight="1" x14ac:dyDescent="0.25"/>
    <row r="61" spans="2:7" ht="47.45" hidden="1" customHeight="1" x14ac:dyDescent="0.25">
      <c r="C61" s="60" t="s">
        <v>503</v>
      </c>
    </row>
    <row r="62" spans="2:7" ht="47.45" hidden="1" customHeight="1" x14ac:dyDescent="0.25"/>
    <row r="63" spans="2:7" ht="47.45" hidden="1" customHeight="1" x14ac:dyDescent="0.3">
      <c r="D63" s="60" t="s">
        <v>621</v>
      </c>
      <c r="G63" s="484"/>
    </row>
    <row r="64" spans="2:7" ht="47.45" hidden="1" customHeight="1" x14ac:dyDescent="0.25"/>
    <row r="65" spans="2:7" ht="47.45" hidden="1" customHeight="1" x14ac:dyDescent="0.3">
      <c r="D65" s="60" t="s">
        <v>622</v>
      </c>
      <c r="G65" s="484"/>
    </row>
    <row r="66" spans="2:7" ht="47.45" hidden="1" customHeight="1" x14ac:dyDescent="0.25"/>
    <row r="67" spans="2:7" ht="47.45" hidden="1" customHeight="1" x14ac:dyDescent="0.25">
      <c r="B67" s="492" t="s">
        <v>522</v>
      </c>
      <c r="D67" s="493"/>
      <c r="E67" s="493"/>
      <c r="F67" s="493"/>
    </row>
    <row r="68" spans="2:7" ht="47.45" hidden="1" customHeight="1" x14ac:dyDescent="0.25">
      <c r="F68" s="65"/>
    </row>
    <row r="69" spans="2:7" ht="47.45" hidden="1" customHeight="1" x14ac:dyDescent="0.25">
      <c r="C69" s="60" t="s">
        <v>524</v>
      </c>
      <c r="E69" s="60" t="s">
        <v>525</v>
      </c>
    </row>
    <row r="70" spans="2:7" ht="47.45" hidden="1" customHeight="1" x14ac:dyDescent="0.25">
      <c r="E70" s="60" t="s">
        <v>623</v>
      </c>
      <c r="F70" s="65"/>
    </row>
    <row r="71" spans="2:7" ht="47.45" hidden="1" customHeight="1" x14ac:dyDescent="0.25">
      <c r="D71" s="494"/>
      <c r="F71" s="65"/>
    </row>
    <row r="72" spans="2:7" ht="47.45" hidden="1" customHeight="1" x14ac:dyDescent="0.25"/>
    <row r="73" spans="2:7" ht="47.45" hidden="1" customHeight="1" x14ac:dyDescent="0.25">
      <c r="D73" s="60" t="s">
        <v>621</v>
      </c>
    </row>
    <row r="74" spans="2:7" ht="47.45" hidden="1" customHeight="1" x14ac:dyDescent="0.25"/>
    <row r="75" spans="2:7" ht="47.45" hidden="1" customHeight="1" x14ac:dyDescent="0.25">
      <c r="D75" s="60" t="s">
        <v>622</v>
      </c>
    </row>
    <row r="76" spans="2:7" ht="47.45" hidden="1" customHeight="1" x14ac:dyDescent="0.25"/>
    <row r="77" spans="2:7" ht="47.45" hidden="1" customHeight="1" x14ac:dyDescent="0.25">
      <c r="B77" s="492" t="s">
        <v>624</v>
      </c>
    </row>
    <row r="78" spans="2:7" ht="47.45" hidden="1" customHeight="1" x14ac:dyDescent="0.25"/>
    <row r="79" spans="2:7" ht="47.45" hidden="1" customHeight="1" x14ac:dyDescent="0.25">
      <c r="C79" s="60" t="s">
        <v>524</v>
      </c>
      <c r="E79" s="60" t="s">
        <v>625</v>
      </c>
    </row>
    <row r="80" spans="2:7" ht="47.45" hidden="1" customHeight="1" x14ac:dyDescent="0.25"/>
    <row r="81" spans="2:4" ht="47.45" hidden="1" customHeight="1" x14ac:dyDescent="0.25">
      <c r="D81" s="60" t="s">
        <v>621</v>
      </c>
    </row>
    <row r="82" spans="2:4" ht="47.45" hidden="1" customHeight="1" x14ac:dyDescent="0.25"/>
    <row r="83" spans="2:4" ht="47.45" hidden="1" customHeight="1" x14ac:dyDescent="0.25">
      <c r="D83" s="60" t="s">
        <v>622</v>
      </c>
    </row>
    <row r="84" spans="2:4" ht="47.45" hidden="1" customHeight="1" x14ac:dyDescent="0.25"/>
    <row r="85" spans="2:4" ht="47.45" hidden="1" customHeight="1" x14ac:dyDescent="0.25">
      <c r="B85" s="492" t="s">
        <v>559</v>
      </c>
    </row>
    <row r="86" spans="2:4" ht="47.45" hidden="1" customHeight="1" x14ac:dyDescent="0.25"/>
    <row r="87" spans="2:4" ht="47.45" hidden="1" customHeight="1" x14ac:dyDescent="0.25"/>
    <row r="88" spans="2:4" ht="47.45" hidden="1" customHeight="1" x14ac:dyDescent="0.25">
      <c r="B88" s="500" t="s">
        <v>626</v>
      </c>
    </row>
    <row r="89" spans="2:4" ht="47.45" hidden="1" customHeight="1" x14ac:dyDescent="0.25">
      <c r="B89" s="500" t="s">
        <v>562</v>
      </c>
    </row>
    <row r="90" spans="2:4" ht="47.45" hidden="1" customHeight="1" x14ac:dyDescent="0.25">
      <c r="B90" s="500" t="s">
        <v>563</v>
      </c>
    </row>
    <row r="91" spans="2:4" ht="47.45" hidden="1" customHeight="1" x14ac:dyDescent="0.25">
      <c r="B91" s="500" t="s">
        <v>564</v>
      </c>
    </row>
    <row r="92" spans="2:4" ht="47.45" hidden="1" customHeight="1" x14ac:dyDescent="0.25">
      <c r="B92" s="500" t="s">
        <v>565</v>
      </c>
    </row>
    <row r="93" spans="2:4" ht="47.45" hidden="1" customHeight="1" x14ac:dyDescent="0.25">
      <c r="B93" s="500" t="s">
        <v>566</v>
      </c>
    </row>
    <row r="94" spans="2:4" ht="47.45" hidden="1" customHeight="1" x14ac:dyDescent="0.25">
      <c r="B94" s="500"/>
      <c r="C94" s="500"/>
    </row>
    <row r="95" spans="2:4" ht="47.45" hidden="1" customHeight="1" x14ac:dyDescent="0.25">
      <c r="B95" s="500" t="s">
        <v>567</v>
      </c>
      <c r="C95" s="500"/>
    </row>
    <row r="96" spans="2:4" ht="47.45" hidden="1" customHeight="1" x14ac:dyDescent="0.25">
      <c r="B96" s="500" t="s">
        <v>568</v>
      </c>
      <c r="C96" s="500"/>
    </row>
    <row r="97" s="60" customFormat="1" ht="47.45" hidden="1" customHeight="1" x14ac:dyDescent="0.25"/>
    <row r="98" s="60" customFormat="1" ht="47.45" hidden="1" customHeight="1" x14ac:dyDescent="0.25"/>
    <row r="99" s="60" customFormat="1" ht="47.45" hidden="1" customHeight="1" x14ac:dyDescent="0.25"/>
    <row r="100" s="60" customFormat="1" ht="47.45" hidden="1" customHeight="1" x14ac:dyDescent="0.25"/>
    <row r="101" s="60" customFormat="1" ht="47.45" hidden="1" customHeight="1" x14ac:dyDescent="0.25"/>
    <row r="102" s="60" customFormat="1" ht="47.45" hidden="1" customHeight="1" x14ac:dyDescent="0.25"/>
    <row r="103" s="60" customFormat="1" ht="47.45" hidden="1" customHeight="1" x14ac:dyDescent="0.25"/>
    <row r="104" s="60" customFormat="1" ht="47.45" hidden="1" customHeight="1" x14ac:dyDescent="0.25"/>
    <row r="105" s="60" customFormat="1" ht="47.45" hidden="1" customHeight="1" x14ac:dyDescent="0.25"/>
    <row r="106" s="60" customFormat="1" ht="47.45" hidden="1" customHeight="1" x14ac:dyDescent="0.25"/>
    <row r="107" s="60" customFormat="1" ht="47.45" hidden="1" customHeight="1" x14ac:dyDescent="0.25"/>
    <row r="108" s="60" customFormat="1" ht="47.45" hidden="1" customHeight="1" x14ac:dyDescent="0.25"/>
    <row r="109" s="60" customFormat="1" ht="47.45" hidden="1" customHeight="1" x14ac:dyDescent="0.25"/>
    <row r="110" s="60" customFormat="1" ht="47.45" hidden="1" customHeight="1" x14ac:dyDescent="0.25"/>
    <row r="111" s="60" customFormat="1" ht="47.45" hidden="1" customHeight="1" x14ac:dyDescent="0.25"/>
    <row r="112" s="60" customFormat="1" ht="47.45" hidden="1" customHeight="1" x14ac:dyDescent="0.25"/>
    <row r="113" s="60" customFormat="1" ht="47.45" hidden="1" customHeight="1" x14ac:dyDescent="0.25"/>
    <row r="114" s="60" customFormat="1" ht="47.45" hidden="1" customHeight="1" x14ac:dyDescent="0.25"/>
    <row r="115" s="60" customFormat="1" ht="47.45" hidden="1" customHeight="1" x14ac:dyDescent="0.25"/>
    <row r="116" s="60" customFormat="1" ht="47.45" hidden="1" customHeight="1" x14ac:dyDescent="0.25"/>
    <row r="117" s="60" customFormat="1" ht="47.45" hidden="1" customHeight="1" x14ac:dyDescent="0.25"/>
    <row r="118" s="60" customFormat="1" ht="47.45" hidden="1" customHeight="1" x14ac:dyDescent="0.25"/>
    <row r="119" s="60" customFormat="1" ht="47.45" hidden="1" customHeight="1" x14ac:dyDescent="0.25"/>
    <row r="120" s="60" customFormat="1" ht="47.45" hidden="1" customHeight="1" x14ac:dyDescent="0.25"/>
    <row r="121" s="60" customFormat="1" ht="47.45" hidden="1" customHeight="1" x14ac:dyDescent="0.25"/>
    <row r="122" s="60" customFormat="1" ht="47.45" hidden="1" customHeight="1" x14ac:dyDescent="0.25"/>
    <row r="123" s="60" customFormat="1" ht="47.45" hidden="1" customHeight="1" x14ac:dyDescent="0.25"/>
    <row r="124" s="60" customFormat="1" ht="47.45" hidden="1" customHeight="1" x14ac:dyDescent="0.25"/>
    <row r="125" s="60" customFormat="1" ht="47.45" hidden="1" customHeight="1" x14ac:dyDescent="0.25"/>
    <row r="126" s="60" customFormat="1" ht="47.45" hidden="1" customHeight="1" x14ac:dyDescent="0.25"/>
    <row r="127" s="60" customFormat="1" ht="47.45" hidden="1" customHeight="1" x14ac:dyDescent="0.25"/>
    <row r="128" s="60" customFormat="1" ht="47.45" hidden="1" customHeight="1" x14ac:dyDescent="0.25"/>
    <row r="129" s="60" customFormat="1" ht="47.45" hidden="1" customHeight="1" x14ac:dyDescent="0.25"/>
    <row r="130" s="60" customFormat="1" ht="47.45" hidden="1" customHeight="1" x14ac:dyDescent="0.25"/>
    <row r="131" s="60" customFormat="1" ht="47.45" hidden="1" customHeight="1" x14ac:dyDescent="0.25"/>
    <row r="132" s="60" customFormat="1" ht="47.45" hidden="1" customHeight="1" x14ac:dyDescent="0.25"/>
    <row r="133" s="60" customFormat="1" ht="47.45" hidden="1" customHeight="1" x14ac:dyDescent="0.25"/>
    <row r="134" s="60" customFormat="1" ht="47.45" hidden="1" customHeight="1" x14ac:dyDescent="0.25"/>
    <row r="135" s="60" customFormat="1" ht="47.45" hidden="1" customHeight="1" x14ac:dyDescent="0.25"/>
    <row r="136" s="60" customFormat="1" ht="47.45" hidden="1" customHeight="1" x14ac:dyDescent="0.25"/>
    <row r="137" s="60" customFormat="1" ht="47.45" hidden="1" customHeight="1" x14ac:dyDescent="0.25"/>
    <row r="138" s="60" customFormat="1" ht="47.45" hidden="1" customHeight="1" x14ac:dyDescent="0.25"/>
    <row r="139" s="60" customFormat="1" ht="47.45" hidden="1" customHeight="1" x14ac:dyDescent="0.25"/>
  </sheetData>
  <mergeCells count="5">
    <mergeCell ref="D56:G56"/>
    <mergeCell ref="B1:J1"/>
    <mergeCell ref="D30:E30"/>
    <mergeCell ref="D31:E31"/>
    <mergeCell ref="D32:E32"/>
  </mergeCells>
  <phoneticPr fontId="77" type="noConversion"/>
  <pageMargins left="0.31496062992125984" right="0.11811023622047245" top="0.35433070866141736" bottom="0.35433070866141736" header="0.31496062992125984" footer="0.31496062992125984"/>
  <pageSetup paperSize="9" scale="80" orientation="landscape" horizontalDpi="4294967293"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DAFBC-B238-4175-9CCC-0B386826A63D}">
  <dimension ref="B1:I53"/>
  <sheetViews>
    <sheetView topLeftCell="B24" zoomScale="110" zoomScaleNormal="110" workbookViewId="0">
      <selection activeCell="E4" sqref="E4"/>
    </sheetView>
  </sheetViews>
  <sheetFormatPr baseColWidth="10" defaultRowHeight="15" x14ac:dyDescent="0.25"/>
  <cols>
    <col min="2" max="2" width="25.5703125" customWidth="1"/>
    <col min="3" max="3" width="22" customWidth="1"/>
    <col min="5" max="5" width="18.85546875" bestFit="1" customWidth="1"/>
  </cols>
  <sheetData>
    <row r="1" spans="2:9" x14ac:dyDescent="0.25">
      <c r="B1" s="60" t="s">
        <v>653</v>
      </c>
    </row>
    <row r="2" spans="2:9" x14ac:dyDescent="0.25">
      <c r="B2" s="60"/>
    </row>
    <row r="3" spans="2:9" s="60" customFormat="1" x14ac:dyDescent="0.25"/>
    <row r="4" spans="2:9" s="60" customFormat="1" x14ac:dyDescent="0.25">
      <c r="B4" s="609" t="s">
        <v>654</v>
      </c>
      <c r="E4" s="60" t="s">
        <v>659</v>
      </c>
    </row>
    <row r="5" spans="2:9" s="60" customFormat="1" x14ac:dyDescent="0.25">
      <c r="B5" s="609"/>
      <c r="D5" s="520"/>
      <c r="E5" s="60" t="s">
        <v>660</v>
      </c>
    </row>
    <row r="6" spans="2:9" s="60" customFormat="1" x14ac:dyDescent="0.25"/>
    <row r="7" spans="2:9" s="60" customFormat="1" x14ac:dyDescent="0.25"/>
    <row r="8" spans="2:9" s="60" customFormat="1" x14ac:dyDescent="0.25">
      <c r="B8" s="865" t="s">
        <v>593</v>
      </c>
      <c r="D8" s="605" t="s">
        <v>627</v>
      </c>
      <c r="E8" s="605"/>
      <c r="F8" s="605"/>
      <c r="G8" s="531">
        <f>'BP VERSION JANVIER 2023'!J33</f>
        <v>2034.069270090909</v>
      </c>
    </row>
    <row r="9" spans="2:9" s="60" customFormat="1" ht="25.5" customHeight="1" x14ac:dyDescent="0.25">
      <c r="B9" s="865"/>
      <c r="D9" s="527" t="s">
        <v>628</v>
      </c>
      <c r="E9" s="382"/>
      <c r="F9" s="382"/>
      <c r="G9" s="531">
        <f>-'BP VERSION JANVIER 2023'!F73</f>
        <v>-472.98</v>
      </c>
    </row>
    <row r="10" spans="2:9" s="60" customFormat="1" ht="15" customHeight="1" x14ac:dyDescent="0.25">
      <c r="B10" s="865"/>
      <c r="D10" s="734" t="s">
        <v>647</v>
      </c>
      <c r="E10" s="867"/>
      <c r="F10" s="735"/>
      <c r="G10" s="531">
        <f>-'BP VERSION JANVIER 2023'!F74</f>
        <v>-84</v>
      </c>
    </row>
    <row r="11" spans="2:9" s="60" customFormat="1" ht="15" customHeight="1" x14ac:dyDescent="0.25">
      <c r="B11" s="865"/>
      <c r="D11" s="734" t="s">
        <v>56</v>
      </c>
      <c r="E11" s="867"/>
      <c r="F11" s="735"/>
      <c r="G11" s="531">
        <f>'BP VERSION JANVIER 2023'!F75</f>
        <v>45.4</v>
      </c>
      <c r="I11" s="60" t="s">
        <v>661</v>
      </c>
    </row>
    <row r="12" spans="2:9" s="60" customFormat="1" ht="25.5" customHeight="1" x14ac:dyDescent="0.25">
      <c r="B12" s="865"/>
      <c r="D12" s="734" t="s">
        <v>648</v>
      </c>
      <c r="E12" s="867"/>
      <c r="F12" s="735"/>
      <c r="G12" s="531"/>
    </row>
    <row r="13" spans="2:9" s="60" customFormat="1" x14ac:dyDescent="0.25">
      <c r="B13" s="865"/>
      <c r="D13" s="868" t="s">
        <v>629</v>
      </c>
      <c r="E13" s="869"/>
      <c r="F13" s="870"/>
      <c r="G13" s="533">
        <f>'BP VERSION JANVIER 2023'!F77</f>
        <v>349.89</v>
      </c>
    </row>
    <row r="14" spans="2:9" s="60" customFormat="1" x14ac:dyDescent="0.25">
      <c r="B14" s="865"/>
      <c r="G14" s="521">
        <f>SUM(G8:G13)</f>
        <v>1872.3792700909089</v>
      </c>
      <c r="H14" s="531">
        <f>'BP VERSION JANVIER 2023'!J78</f>
        <v>1872.3792700909089</v>
      </c>
      <c r="I14" s="531">
        <f>'BP FORMAT JUILLET 2023'!J84</f>
        <v>1872.3792700909094</v>
      </c>
    </row>
    <row r="15" spans="2:9" s="60" customFormat="1" x14ac:dyDescent="0.25">
      <c r="B15" s="526"/>
    </row>
    <row r="16" spans="2:9" s="60" customFormat="1" x14ac:dyDescent="0.25"/>
    <row r="17" spans="2:9" s="60" customFormat="1" x14ac:dyDescent="0.25">
      <c r="B17" s="865" t="s">
        <v>62</v>
      </c>
      <c r="D17" s="605" t="s">
        <v>627</v>
      </c>
      <c r="E17" s="605"/>
      <c r="F17" s="605"/>
      <c r="G17" s="531">
        <f>'BP VERSION JANVIER 2023'!J33</f>
        <v>2034.069270090909</v>
      </c>
    </row>
    <row r="18" spans="2:9" s="60" customFormat="1" x14ac:dyDescent="0.25">
      <c r="B18" s="865"/>
      <c r="D18" s="849" t="s">
        <v>628</v>
      </c>
      <c r="E18" s="849"/>
      <c r="F18" s="849"/>
      <c r="G18" s="531">
        <f>-'BP VERSION JANVIER 2023'!F73</f>
        <v>-472.98</v>
      </c>
    </row>
    <row r="19" spans="2:9" s="60" customFormat="1" x14ac:dyDescent="0.25">
      <c r="B19" s="865"/>
      <c r="D19" s="605" t="s">
        <v>630</v>
      </c>
      <c r="E19" s="605"/>
      <c r="F19" s="605"/>
      <c r="G19" s="531">
        <f>'BP VERSION JANVIER 2023'!G38</f>
        <v>40.68</v>
      </c>
    </row>
    <row r="20" spans="2:9" s="60" customFormat="1" x14ac:dyDescent="0.25">
      <c r="B20" s="865"/>
      <c r="D20" s="605" t="s">
        <v>631</v>
      </c>
      <c r="E20" s="605"/>
      <c r="F20" s="605"/>
      <c r="G20" s="531"/>
    </row>
    <row r="21" spans="2:9" s="60" customFormat="1" x14ac:dyDescent="0.25">
      <c r="B21" s="865"/>
      <c r="D21" s="605" t="s">
        <v>632</v>
      </c>
      <c r="E21" s="605"/>
      <c r="F21" s="605"/>
      <c r="G21" s="531">
        <f>'BP VERSION JANVIER 2023'!F67</f>
        <v>60.32</v>
      </c>
    </row>
    <row r="22" spans="2:9" s="60" customFormat="1" x14ac:dyDescent="0.25">
      <c r="B22" s="865"/>
      <c r="G22" s="521">
        <f>SUM(G17:G21)</f>
        <v>1662.0892700909089</v>
      </c>
      <c r="H22" s="531">
        <f>'BP VERSION JANVIER 2023'!J86</f>
        <v>1662.0892700909092</v>
      </c>
      <c r="I22" s="531">
        <f>'BP FORMAT JUILLET 2023'!J85</f>
        <v>1662.0892700909092</v>
      </c>
    </row>
    <row r="23" spans="2:9" s="60" customFormat="1" x14ac:dyDescent="0.25">
      <c r="B23" s="526"/>
      <c r="G23" s="452"/>
    </row>
    <row r="24" spans="2:9" s="60" customFormat="1" x14ac:dyDescent="0.25"/>
    <row r="25" spans="2:9" s="60" customFormat="1" x14ac:dyDescent="0.25">
      <c r="B25" s="866" t="s">
        <v>633</v>
      </c>
      <c r="D25" s="605" t="s">
        <v>62</v>
      </c>
      <c r="E25" s="605"/>
      <c r="F25" s="605"/>
      <c r="G25" s="521">
        <f>'BP VERSION JANVIER 2023'!J86</f>
        <v>1662.0892700909092</v>
      </c>
    </row>
    <row r="26" spans="2:9" s="60" customFormat="1" x14ac:dyDescent="0.25">
      <c r="B26" s="866"/>
      <c r="D26" s="605" t="s">
        <v>649</v>
      </c>
      <c r="E26" s="605"/>
      <c r="F26" s="605"/>
      <c r="G26" s="528">
        <f>'MATRICE IJSS ABSENCE '!G30</f>
        <v>375.02</v>
      </c>
    </row>
    <row r="27" spans="2:9" s="60" customFormat="1" x14ac:dyDescent="0.25">
      <c r="B27" s="866"/>
      <c r="D27" s="871" t="s">
        <v>650</v>
      </c>
      <c r="E27" s="871"/>
      <c r="F27" s="871"/>
      <c r="G27" s="528">
        <f>-'MATRICE IJSS ABSENCE '!G33</f>
        <v>-14.25076</v>
      </c>
    </row>
    <row r="28" spans="2:9" s="60" customFormat="1" x14ac:dyDescent="0.25">
      <c r="B28" s="866"/>
      <c r="G28" s="521">
        <f>SUM(G25:G27)</f>
        <v>2022.8585100909092</v>
      </c>
      <c r="H28" s="531">
        <f>'BP VERSION JANVIER 2023'!D83</f>
        <v>2022.8585100909092</v>
      </c>
      <c r="I28" s="531">
        <f>'BP FORMAT JUILLET 2023'!D89</f>
        <v>2022.8585100909092</v>
      </c>
    </row>
    <row r="29" spans="2:9" s="60" customFormat="1" x14ac:dyDescent="0.25"/>
    <row r="30" spans="2:9" s="60" customFormat="1" x14ac:dyDescent="0.25">
      <c r="B30" s="865" t="s">
        <v>634</v>
      </c>
    </row>
    <row r="31" spans="2:9" s="60" customFormat="1" x14ac:dyDescent="0.25">
      <c r="B31" s="865"/>
      <c r="D31" s="605" t="s">
        <v>630</v>
      </c>
      <c r="E31" s="605"/>
      <c r="F31" s="605"/>
      <c r="G31" s="531">
        <f>'BP VERSION JANVIER 2023'!G38</f>
        <v>40.68</v>
      </c>
    </row>
    <row r="32" spans="2:9" s="60" customFormat="1" x14ac:dyDescent="0.25">
      <c r="B32" s="865"/>
      <c r="D32" s="605" t="s">
        <v>635</v>
      </c>
      <c r="E32" s="605"/>
      <c r="F32" s="605"/>
      <c r="G32" s="531"/>
    </row>
    <row r="33" spans="2:9" s="60" customFormat="1" x14ac:dyDescent="0.25">
      <c r="B33" s="865"/>
      <c r="D33" s="605" t="s">
        <v>636</v>
      </c>
      <c r="E33" s="605"/>
      <c r="F33" s="605"/>
      <c r="G33" s="531">
        <f>'BP VERSION JANVIER 2023'!G41</f>
        <v>40.68</v>
      </c>
    </row>
    <row r="34" spans="2:9" s="60" customFormat="1" x14ac:dyDescent="0.25">
      <c r="G34" s="521">
        <f>SUM(G31:G33)</f>
        <v>81.36</v>
      </c>
      <c r="H34" s="528">
        <f>'BP VERSION JANVIER 2023'!C112</f>
        <v>81.36</v>
      </c>
      <c r="I34" s="528">
        <f>'BP FORMAT JUILLET 2023'!C126</f>
        <v>81.36</v>
      </c>
    </row>
    <row r="35" spans="2:9" s="60" customFormat="1" x14ac:dyDescent="0.25">
      <c r="G35" s="452"/>
      <c r="H35" s="451"/>
      <c r="I35" s="451"/>
    </row>
    <row r="36" spans="2:9" s="60" customFormat="1" x14ac:dyDescent="0.25">
      <c r="B36" s="865" t="s">
        <v>637</v>
      </c>
      <c r="D36" s="605" t="s">
        <v>638</v>
      </c>
      <c r="E36" s="605"/>
      <c r="F36" s="605"/>
      <c r="G36" s="534">
        <f>0.9825*'BP VERSION JANVIER 2023'!J33</f>
        <v>1998.4730578643182</v>
      </c>
    </row>
    <row r="37" spans="2:9" s="60" customFormat="1" x14ac:dyDescent="0.25">
      <c r="B37" s="865"/>
      <c r="D37" s="605" t="s">
        <v>639</v>
      </c>
      <c r="E37" s="605"/>
      <c r="F37" s="605"/>
      <c r="G37" s="534">
        <f>G31+G32</f>
        <v>40.68</v>
      </c>
    </row>
    <row r="38" spans="2:9" s="60" customFormat="1" x14ac:dyDescent="0.25">
      <c r="B38" s="865"/>
      <c r="D38" s="605" t="s">
        <v>662</v>
      </c>
      <c r="E38" s="605"/>
      <c r="F38" s="605"/>
      <c r="G38" s="534">
        <f>G33</f>
        <v>40.68</v>
      </c>
    </row>
    <row r="39" spans="2:9" s="60" customFormat="1" x14ac:dyDescent="0.25">
      <c r="B39" s="865"/>
      <c r="G39" s="522">
        <f>SUM(G36:G38)</f>
        <v>2079.8330578643181</v>
      </c>
      <c r="H39" s="531">
        <f>'BP VERSION JANVIER 2023'!C66</f>
        <v>2079.8330578643181</v>
      </c>
      <c r="I39" s="531">
        <f>'BP FORMAT JUILLET 2023'!C66</f>
        <v>2079.8330578643181</v>
      </c>
    </row>
    <row r="40" spans="2:9" s="60" customFormat="1" x14ac:dyDescent="0.25"/>
    <row r="41" spans="2:9" x14ac:dyDescent="0.25">
      <c r="B41" s="60"/>
      <c r="C41" s="382" t="s">
        <v>640</v>
      </c>
      <c r="D41" s="60"/>
      <c r="E41" s="382" t="s">
        <v>641</v>
      </c>
      <c r="F41" s="60"/>
      <c r="G41" s="308" t="s">
        <v>642</v>
      </c>
    </row>
    <row r="42" spans="2:9" s="60" customFormat="1" x14ac:dyDescent="0.25">
      <c r="B42" s="60" t="s">
        <v>593</v>
      </c>
      <c r="C42" s="521">
        <f>H14</f>
        <v>1872.3792700909089</v>
      </c>
      <c r="E42" s="521">
        <f>I14</f>
        <v>1872.3792700909094</v>
      </c>
      <c r="G42" s="382"/>
    </row>
    <row r="43" spans="2:9" s="60" customFormat="1" x14ac:dyDescent="0.25">
      <c r="B43" s="60" t="s">
        <v>62</v>
      </c>
      <c r="C43" s="521">
        <f>G22</f>
        <v>1662.0892700909089</v>
      </c>
      <c r="E43" s="521">
        <f>I22</f>
        <v>1662.0892700909092</v>
      </c>
      <c r="G43" s="521">
        <v>0</v>
      </c>
    </row>
    <row r="44" spans="2:9" s="60" customFormat="1" x14ac:dyDescent="0.25">
      <c r="B44" s="60" t="s">
        <v>633</v>
      </c>
      <c r="C44" s="521">
        <f>G28</f>
        <v>2022.8585100909092</v>
      </c>
      <c r="E44" s="522">
        <f>I28</f>
        <v>2022.8585100909092</v>
      </c>
      <c r="G44" s="521">
        <v>0</v>
      </c>
    </row>
    <row r="45" spans="2:9" s="60" customFormat="1" x14ac:dyDescent="0.25">
      <c r="B45" s="60" t="s">
        <v>655</v>
      </c>
      <c r="C45" s="521">
        <f>H34</f>
        <v>81.36</v>
      </c>
      <c r="E45" s="490">
        <f>I34</f>
        <v>81.36</v>
      </c>
      <c r="G45" s="521">
        <v>0</v>
      </c>
    </row>
    <row r="46" spans="2:9" s="60" customFormat="1" x14ac:dyDescent="0.25">
      <c r="B46" s="60" t="s">
        <v>643</v>
      </c>
      <c r="C46" s="528">
        <f>'BP VERSION JANVIER 2023'!F73</f>
        <v>472.98</v>
      </c>
      <c r="E46" s="531">
        <f>'BP FORMAT JUILLET 2023'!F73+'BP FORMAT JUILLET 2023'!F76</f>
        <v>472.97999999999996</v>
      </c>
      <c r="G46" s="521">
        <v>0</v>
      </c>
    </row>
    <row r="47" spans="2:9" x14ac:dyDescent="0.25">
      <c r="B47" s="60" t="s">
        <v>644</v>
      </c>
      <c r="C47" s="529">
        <f>'BP VERSION JANVIER 2023'!G73</f>
        <v>692.23</v>
      </c>
      <c r="E47" s="529">
        <f>'BP FORMAT JUILLET 2023'!G73+'BP FORMAT JUILLET 2023'!G76</f>
        <v>692.2299999999999</v>
      </c>
      <c r="G47" s="521">
        <v>0</v>
      </c>
    </row>
    <row r="48" spans="2:9" x14ac:dyDescent="0.25">
      <c r="B48" s="60" t="s">
        <v>656</v>
      </c>
      <c r="C48" s="532">
        <f>H39</f>
        <v>2079.8330578643181</v>
      </c>
      <c r="E48" s="532">
        <f>I39</f>
        <v>2079.8330578643181</v>
      </c>
      <c r="G48" s="521">
        <v>0</v>
      </c>
    </row>
    <row r="49" spans="2:7" x14ac:dyDescent="0.25">
      <c r="B49" s="60" t="s">
        <v>645</v>
      </c>
      <c r="C49" s="529">
        <f>'BP VERSION JANVIER 2023'!G71</f>
        <v>-352.91</v>
      </c>
      <c r="E49" s="530">
        <f>'BP FORMAT JUILLET 2023'!G71</f>
        <v>-352.91</v>
      </c>
      <c r="G49" s="521">
        <v>0</v>
      </c>
    </row>
    <row r="52" spans="2:7" x14ac:dyDescent="0.25">
      <c r="B52" s="60" t="s">
        <v>657</v>
      </c>
    </row>
    <row r="53" spans="2:7" x14ac:dyDescent="0.25">
      <c r="B53" s="60" t="s">
        <v>658</v>
      </c>
    </row>
  </sheetData>
  <mergeCells count="25">
    <mergeCell ref="D36:F36"/>
    <mergeCell ref="D37:F37"/>
    <mergeCell ref="D38:F38"/>
    <mergeCell ref="B36:B39"/>
    <mergeCell ref="D10:F10"/>
    <mergeCell ref="D11:F11"/>
    <mergeCell ref="D12:F12"/>
    <mergeCell ref="D13:F13"/>
    <mergeCell ref="D17:F17"/>
    <mergeCell ref="D18:F18"/>
    <mergeCell ref="D19:F19"/>
    <mergeCell ref="D20:F20"/>
    <mergeCell ref="D21:F21"/>
    <mergeCell ref="D25:F25"/>
    <mergeCell ref="D26:F26"/>
    <mergeCell ref="D27:F27"/>
    <mergeCell ref="D31:F31"/>
    <mergeCell ref="D32:F32"/>
    <mergeCell ref="D33:F33"/>
    <mergeCell ref="B4:B5"/>
    <mergeCell ref="B8:B14"/>
    <mergeCell ref="B17:B22"/>
    <mergeCell ref="B25:B28"/>
    <mergeCell ref="B30:B33"/>
    <mergeCell ref="D8:F8"/>
  </mergeCells>
  <pageMargins left="0.51181102362204722" right="0.11811023622047245" top="0" bottom="0" header="0.31496062992125984" footer="0.31496062992125984"/>
  <pageSetup paperSize="9" scale="70" orientation="landscape" horizontalDpi="4294967293" verticalDpi="0" r:id="rId1"/>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G150"/>
  <sheetViews>
    <sheetView topLeftCell="A139" zoomScale="125" zoomScaleNormal="130" workbookViewId="0">
      <selection activeCell="B145" sqref="B145"/>
    </sheetView>
  </sheetViews>
  <sheetFormatPr baseColWidth="10" defaultRowHeight="15" x14ac:dyDescent="0.25"/>
  <cols>
    <col min="1" max="1" width="14.85546875" customWidth="1"/>
    <col min="2" max="2" width="13.28515625" customWidth="1"/>
    <col min="3" max="3" width="12.5703125" customWidth="1"/>
    <col min="4" max="4" width="16.140625" style="54" customWidth="1"/>
    <col min="5" max="5" width="15" customWidth="1"/>
    <col min="6" max="6" width="14.140625" customWidth="1"/>
    <col min="7" max="7" width="12.7109375" customWidth="1"/>
    <col min="8" max="8" width="16.5703125" customWidth="1"/>
    <col min="9" max="9" width="14.5703125" customWidth="1"/>
    <col min="10" max="10" width="12.7109375" customWidth="1"/>
    <col min="11" max="11" width="15.42578125" bestFit="1" customWidth="1"/>
    <col min="12" max="12" width="14.28515625" hidden="1" customWidth="1"/>
    <col min="13" max="13" width="12" hidden="1" customWidth="1"/>
    <col min="14" max="14" width="12.140625" hidden="1" customWidth="1"/>
    <col min="15" max="15" width="10.140625" hidden="1" customWidth="1"/>
    <col min="16" max="18" width="10.85546875" hidden="1" customWidth="1"/>
    <col min="19" max="19" width="9.5703125" hidden="1" customWidth="1"/>
    <col min="20" max="20" width="10.140625" hidden="1" customWidth="1"/>
    <col min="21" max="21" width="10" hidden="1" customWidth="1"/>
    <col min="22" max="22" width="12.140625" hidden="1" customWidth="1"/>
    <col min="23" max="31" width="0" hidden="1" customWidth="1"/>
    <col min="32" max="32" width="11.42578125" hidden="1" customWidth="1"/>
    <col min="33" max="33" width="0" hidden="1" customWidth="1"/>
  </cols>
  <sheetData>
    <row r="1" spans="1:16" ht="20.25" hidden="1" customHeight="1" x14ac:dyDescent="0.25">
      <c r="A1" t="s">
        <v>116</v>
      </c>
    </row>
    <row r="2" spans="1:16" s="67" customFormat="1" ht="26.25" hidden="1" customHeight="1" x14ac:dyDescent="0.2">
      <c r="A2" s="72" t="s">
        <v>87</v>
      </c>
      <c r="B2" s="72" t="s">
        <v>117</v>
      </c>
      <c r="C2" s="72" t="s">
        <v>118</v>
      </c>
      <c r="D2" s="72" t="s">
        <v>119</v>
      </c>
      <c r="E2" s="72" t="s">
        <v>120</v>
      </c>
      <c r="F2" s="72"/>
      <c r="G2" s="72"/>
      <c r="H2" s="72"/>
      <c r="I2" s="72"/>
      <c r="J2" s="72"/>
      <c r="K2" s="72" t="s">
        <v>121</v>
      </c>
      <c r="L2" s="72" t="s">
        <v>122</v>
      </c>
      <c r="M2" s="72" t="s">
        <v>123</v>
      </c>
      <c r="N2" s="72" t="s">
        <v>124</v>
      </c>
      <c r="O2" s="72" t="s">
        <v>125</v>
      </c>
      <c r="P2" s="72" t="s">
        <v>126</v>
      </c>
    </row>
    <row r="3" spans="1:16" s="60" customFormat="1" ht="20.25" hidden="1" customHeight="1" x14ac:dyDescent="0.25">
      <c r="A3" s="68" t="s">
        <v>105</v>
      </c>
      <c r="B3" s="73">
        <f>'[3]SUIVI RETRAITE '!B7</f>
        <v>4910.7999999999993</v>
      </c>
      <c r="C3" s="74">
        <f>'[3]SUIVI RETRAITE '!C7</f>
        <v>3428</v>
      </c>
      <c r="D3" s="75">
        <f>C3</f>
        <v>3428</v>
      </c>
      <c r="E3" s="75">
        <f>B3</f>
        <v>4910.7999999999993</v>
      </c>
      <c r="F3" s="75"/>
      <c r="G3" s="75"/>
      <c r="H3" s="75"/>
      <c r="I3" s="75"/>
      <c r="J3" s="75"/>
      <c r="K3" s="75">
        <f t="shared" ref="K3:K14" si="0">MIN(D3,E3)</f>
        <v>3428</v>
      </c>
      <c r="L3" s="75">
        <f>K3</f>
        <v>3428</v>
      </c>
      <c r="M3" s="75">
        <f>IF(E3&gt;D3,IF((E3-D3)&gt;3*D3,3*D3,E3-D3),0)</f>
        <v>1482.7999999999993</v>
      </c>
      <c r="N3" s="75">
        <f>M3</f>
        <v>1482.7999999999993</v>
      </c>
      <c r="O3" s="75">
        <f>IF(E3&gt;8*D3,7*D3,IF(E3&lt;D3,0,E3-D3))</f>
        <v>1482.7999999999993</v>
      </c>
      <c r="P3" s="75">
        <f>O3</f>
        <v>1482.7999999999993</v>
      </c>
    </row>
    <row r="4" spans="1:16" s="60" customFormat="1" ht="20.25" hidden="1" customHeight="1" x14ac:dyDescent="0.25">
      <c r="A4" s="68" t="s">
        <v>127</v>
      </c>
      <c r="B4" s="73">
        <f>'[3]SUIVI RETRAITE '!B8</f>
        <v>0</v>
      </c>
      <c r="C4" s="74">
        <f>'[3]SUIVI RETRAITE '!C8</f>
        <v>0</v>
      </c>
      <c r="D4" s="75">
        <f>D3+C4</f>
        <v>3428</v>
      </c>
      <c r="E4" s="75">
        <f>E3+B4</f>
        <v>4910.7999999999993</v>
      </c>
      <c r="F4" s="75"/>
      <c r="G4" s="75"/>
      <c r="H4" s="75"/>
      <c r="I4" s="75"/>
      <c r="J4" s="75"/>
      <c r="K4" s="75">
        <f t="shared" si="0"/>
        <v>3428</v>
      </c>
      <c r="L4" s="75">
        <f t="shared" ref="L4:L14" si="1">K4-K3</f>
        <v>0</v>
      </c>
      <c r="M4" s="75">
        <f t="shared" ref="M4:M14" si="2">IF(E4&gt;D4,IF((E4-D4)&gt;3*D4,3*D4,E4-D4),0)</f>
        <v>1482.7999999999993</v>
      </c>
      <c r="N4" s="75">
        <f t="shared" ref="N4:N14" si="3">M4-M3</f>
        <v>0</v>
      </c>
      <c r="O4" s="75">
        <f>IF(E4&gt;8*D4,7*D4,IF(E4&lt;D4,0,E4-D4))</f>
        <v>1482.7999999999993</v>
      </c>
      <c r="P4" s="75">
        <f t="shared" ref="P4:P14" si="4">O4-O3</f>
        <v>0</v>
      </c>
    </row>
    <row r="5" spans="1:16" s="60" customFormat="1" ht="20.25" hidden="1" customHeight="1" x14ac:dyDescent="0.25">
      <c r="A5" s="68" t="s">
        <v>106</v>
      </c>
      <c r="B5" s="73" t="e">
        <f>'[3]SUIVI RETRAITE '!B9</f>
        <v>#DIV/0!</v>
      </c>
      <c r="C5" s="74">
        <f>'[3]SUIVI RETRAITE '!C9</f>
        <v>0</v>
      </c>
      <c r="D5" s="75">
        <f>D4+C5</f>
        <v>3428</v>
      </c>
      <c r="E5" s="75" t="e">
        <f>E4+B5</f>
        <v>#DIV/0!</v>
      </c>
      <c r="F5" s="75"/>
      <c r="G5" s="75"/>
      <c r="H5" s="75"/>
      <c r="I5" s="75"/>
      <c r="J5" s="75"/>
      <c r="K5" s="75" t="e">
        <f t="shared" si="0"/>
        <v>#DIV/0!</v>
      </c>
      <c r="L5" s="75" t="e">
        <f t="shared" si="1"/>
        <v>#DIV/0!</v>
      </c>
      <c r="M5" s="75" t="e">
        <f t="shared" si="2"/>
        <v>#DIV/0!</v>
      </c>
      <c r="N5" s="75" t="e">
        <f t="shared" si="3"/>
        <v>#DIV/0!</v>
      </c>
      <c r="O5" s="75" t="e">
        <f t="shared" ref="O5:O14" si="5">IF(E5&gt;8*D5,7*D5,IF(E5&lt;D5,0,E5-D5))</f>
        <v>#DIV/0!</v>
      </c>
      <c r="P5" s="75" t="e">
        <f t="shared" si="4"/>
        <v>#DIV/0!</v>
      </c>
    </row>
    <row r="6" spans="1:16" s="60" customFormat="1" ht="20.25" hidden="1" customHeight="1" x14ac:dyDescent="0.25">
      <c r="A6" s="68" t="s">
        <v>128</v>
      </c>
      <c r="B6" s="73" t="e">
        <f>'[3]SUIVI RETRAITE '!B10</f>
        <v>#DIV/0!</v>
      </c>
      <c r="C6" s="74">
        <f>'[3]SUIVI RETRAITE '!C10</f>
        <v>0</v>
      </c>
      <c r="D6" s="75">
        <f>D5+C6</f>
        <v>3428</v>
      </c>
      <c r="E6" s="75" t="e">
        <f>E5+B6</f>
        <v>#DIV/0!</v>
      </c>
      <c r="F6" s="75"/>
      <c r="G6" s="75"/>
      <c r="H6" s="75"/>
      <c r="I6" s="75"/>
      <c r="J6" s="75"/>
      <c r="K6" s="75" t="e">
        <f t="shared" si="0"/>
        <v>#DIV/0!</v>
      </c>
      <c r="L6" s="75" t="e">
        <f t="shared" si="1"/>
        <v>#DIV/0!</v>
      </c>
      <c r="M6" s="75" t="e">
        <f t="shared" si="2"/>
        <v>#DIV/0!</v>
      </c>
      <c r="N6" s="75" t="e">
        <f t="shared" si="3"/>
        <v>#DIV/0!</v>
      </c>
      <c r="O6" s="75" t="e">
        <f t="shared" si="5"/>
        <v>#DIV/0!</v>
      </c>
      <c r="P6" s="75" t="e">
        <f t="shared" si="4"/>
        <v>#DIV/0!</v>
      </c>
    </row>
    <row r="7" spans="1:16" s="60" customFormat="1" ht="20.25" hidden="1" customHeight="1" x14ac:dyDescent="0.25">
      <c r="A7" s="68" t="s">
        <v>109</v>
      </c>
      <c r="B7" s="73" t="e">
        <f>'[3]SUIVI RETRAITE '!B11</f>
        <v>#DIV/0!</v>
      </c>
      <c r="C7" s="74">
        <f>'[3]SUIVI RETRAITE '!C11</f>
        <v>0</v>
      </c>
      <c r="D7" s="75">
        <f t="shared" ref="D7:D14" si="6">D6+C7</f>
        <v>3428</v>
      </c>
      <c r="E7" s="75" t="e">
        <f t="shared" ref="E7:E14" si="7">E6+B7</f>
        <v>#DIV/0!</v>
      </c>
      <c r="F7" s="75"/>
      <c r="G7" s="75"/>
      <c r="H7" s="75"/>
      <c r="I7" s="75"/>
      <c r="J7" s="75"/>
      <c r="K7" s="75" t="e">
        <f t="shared" si="0"/>
        <v>#DIV/0!</v>
      </c>
      <c r="L7" s="75" t="e">
        <f t="shared" si="1"/>
        <v>#DIV/0!</v>
      </c>
      <c r="M7" s="75" t="e">
        <f t="shared" si="2"/>
        <v>#DIV/0!</v>
      </c>
      <c r="N7" s="75" t="e">
        <f t="shared" si="3"/>
        <v>#DIV/0!</v>
      </c>
      <c r="O7" s="75" t="e">
        <f t="shared" si="5"/>
        <v>#DIV/0!</v>
      </c>
      <c r="P7" s="75" t="e">
        <f t="shared" si="4"/>
        <v>#DIV/0!</v>
      </c>
    </row>
    <row r="8" spans="1:16" s="60" customFormat="1" ht="20.25" hidden="1" customHeight="1" x14ac:dyDescent="0.25">
      <c r="A8" s="68" t="s">
        <v>107</v>
      </c>
      <c r="B8" s="73" t="e">
        <f>'[3]SUIVI RETRAITE '!B12</f>
        <v>#DIV/0!</v>
      </c>
      <c r="C8" s="74">
        <f>'[3]SUIVI RETRAITE '!C12</f>
        <v>0</v>
      </c>
      <c r="D8" s="74">
        <f t="shared" si="6"/>
        <v>3428</v>
      </c>
      <c r="E8" s="74" t="e">
        <f t="shared" si="7"/>
        <v>#DIV/0!</v>
      </c>
      <c r="F8" s="74"/>
      <c r="G8" s="74"/>
      <c r="H8" s="74"/>
      <c r="I8" s="74"/>
      <c r="J8" s="74"/>
      <c r="K8" s="75" t="e">
        <f t="shared" si="0"/>
        <v>#DIV/0!</v>
      </c>
      <c r="L8" s="75" t="e">
        <f t="shared" si="1"/>
        <v>#DIV/0!</v>
      </c>
      <c r="M8" s="75" t="e">
        <f t="shared" si="2"/>
        <v>#DIV/0!</v>
      </c>
      <c r="N8" s="75" t="e">
        <f t="shared" si="3"/>
        <v>#DIV/0!</v>
      </c>
      <c r="O8" s="75" t="e">
        <f t="shared" si="5"/>
        <v>#DIV/0!</v>
      </c>
      <c r="P8" s="75" t="e">
        <f t="shared" si="4"/>
        <v>#DIV/0!</v>
      </c>
    </row>
    <row r="9" spans="1:16" s="60" customFormat="1" ht="20.25" hidden="1" customHeight="1" x14ac:dyDescent="0.25">
      <c r="A9" s="68" t="s">
        <v>110</v>
      </c>
      <c r="B9" s="73" t="e">
        <f>'[3]SUIVI RETRAITE '!B13</f>
        <v>#DIV/0!</v>
      </c>
      <c r="C9" s="74">
        <f>'[3]SUIVI RETRAITE '!C13</f>
        <v>0</v>
      </c>
      <c r="D9" s="74">
        <f t="shared" si="6"/>
        <v>3428</v>
      </c>
      <c r="E9" s="74" t="e">
        <f t="shared" si="7"/>
        <v>#DIV/0!</v>
      </c>
      <c r="F9" s="74"/>
      <c r="G9" s="74"/>
      <c r="H9" s="74"/>
      <c r="I9" s="74"/>
      <c r="J9" s="74"/>
      <c r="K9" s="75" t="e">
        <f t="shared" si="0"/>
        <v>#DIV/0!</v>
      </c>
      <c r="L9" s="75" t="e">
        <f t="shared" si="1"/>
        <v>#DIV/0!</v>
      </c>
      <c r="M9" s="75" t="e">
        <f t="shared" si="2"/>
        <v>#DIV/0!</v>
      </c>
      <c r="N9" s="75" t="e">
        <f t="shared" si="3"/>
        <v>#DIV/0!</v>
      </c>
      <c r="O9" s="75" t="e">
        <f t="shared" si="5"/>
        <v>#DIV/0!</v>
      </c>
      <c r="P9" s="75" t="e">
        <f t="shared" si="4"/>
        <v>#DIV/0!</v>
      </c>
    </row>
    <row r="10" spans="1:16" s="60" customFormat="1" ht="20.25" hidden="1" customHeight="1" x14ac:dyDescent="0.25">
      <c r="A10" s="68" t="s">
        <v>111</v>
      </c>
      <c r="B10" s="73" t="e">
        <f>'[3]SUIVI RETRAITE '!B14</f>
        <v>#DIV/0!</v>
      </c>
      <c r="C10" s="74">
        <f>'[3]SUIVI RETRAITE '!C14</f>
        <v>0</v>
      </c>
      <c r="D10" s="74">
        <f t="shared" si="6"/>
        <v>3428</v>
      </c>
      <c r="E10" s="74" t="e">
        <f t="shared" si="7"/>
        <v>#DIV/0!</v>
      </c>
      <c r="F10" s="74"/>
      <c r="G10" s="74"/>
      <c r="H10" s="74"/>
      <c r="I10" s="74"/>
      <c r="J10" s="74"/>
      <c r="K10" s="75" t="e">
        <f t="shared" si="0"/>
        <v>#DIV/0!</v>
      </c>
      <c r="L10" s="75" t="e">
        <f t="shared" si="1"/>
        <v>#DIV/0!</v>
      </c>
      <c r="M10" s="75" t="e">
        <f t="shared" si="2"/>
        <v>#DIV/0!</v>
      </c>
      <c r="N10" s="75" t="e">
        <f t="shared" si="3"/>
        <v>#DIV/0!</v>
      </c>
      <c r="O10" s="75" t="e">
        <f t="shared" si="5"/>
        <v>#DIV/0!</v>
      </c>
      <c r="P10" s="75" t="e">
        <f t="shared" si="4"/>
        <v>#DIV/0!</v>
      </c>
    </row>
    <row r="11" spans="1:16" s="60" customFormat="1" ht="20.25" hidden="1" customHeight="1" x14ac:dyDescent="0.25">
      <c r="A11" s="68" t="s">
        <v>112</v>
      </c>
      <c r="B11" s="73" t="e">
        <f>'[3]SUIVI RETRAITE '!B15</f>
        <v>#DIV/0!</v>
      </c>
      <c r="C11" s="74">
        <f>'[3]SUIVI RETRAITE '!C15</f>
        <v>0</v>
      </c>
      <c r="D11" s="74">
        <f t="shared" si="6"/>
        <v>3428</v>
      </c>
      <c r="E11" s="74" t="e">
        <f t="shared" si="7"/>
        <v>#DIV/0!</v>
      </c>
      <c r="F11" s="74"/>
      <c r="G11" s="74"/>
      <c r="H11" s="74"/>
      <c r="I11" s="74"/>
      <c r="J11" s="74"/>
      <c r="K11" s="75" t="e">
        <f t="shared" si="0"/>
        <v>#DIV/0!</v>
      </c>
      <c r="L11" s="75" t="e">
        <f t="shared" si="1"/>
        <v>#DIV/0!</v>
      </c>
      <c r="M11" s="75" t="e">
        <f t="shared" si="2"/>
        <v>#DIV/0!</v>
      </c>
      <c r="N11" s="75" t="e">
        <f t="shared" si="3"/>
        <v>#DIV/0!</v>
      </c>
      <c r="O11" s="75" t="e">
        <f t="shared" si="5"/>
        <v>#DIV/0!</v>
      </c>
      <c r="P11" s="75" t="e">
        <f t="shared" si="4"/>
        <v>#DIV/0!</v>
      </c>
    </row>
    <row r="12" spans="1:16" s="60" customFormat="1" ht="20.25" hidden="1" customHeight="1" x14ac:dyDescent="0.25">
      <c r="A12" s="68" t="s">
        <v>108</v>
      </c>
      <c r="B12" s="73" t="e">
        <f>'[3]SUIVI RETRAITE '!B16</f>
        <v>#DIV/0!</v>
      </c>
      <c r="C12" s="74">
        <f>'[3]SUIVI RETRAITE '!C16</f>
        <v>0</v>
      </c>
      <c r="D12" s="74">
        <f t="shared" si="6"/>
        <v>3428</v>
      </c>
      <c r="E12" s="74" t="e">
        <f t="shared" si="7"/>
        <v>#DIV/0!</v>
      </c>
      <c r="F12" s="74"/>
      <c r="G12" s="74"/>
      <c r="H12" s="74"/>
      <c r="I12" s="74"/>
      <c r="J12" s="74"/>
      <c r="K12" s="75" t="e">
        <f t="shared" si="0"/>
        <v>#DIV/0!</v>
      </c>
      <c r="L12" s="75" t="e">
        <f t="shared" si="1"/>
        <v>#DIV/0!</v>
      </c>
      <c r="M12" s="75" t="e">
        <f t="shared" si="2"/>
        <v>#DIV/0!</v>
      </c>
      <c r="N12" s="75" t="e">
        <f t="shared" si="3"/>
        <v>#DIV/0!</v>
      </c>
      <c r="O12" s="75" t="e">
        <f t="shared" si="5"/>
        <v>#DIV/0!</v>
      </c>
      <c r="P12" s="75" t="e">
        <f t="shared" si="4"/>
        <v>#DIV/0!</v>
      </c>
    </row>
    <row r="13" spans="1:16" s="60" customFormat="1" ht="20.25" hidden="1" customHeight="1" x14ac:dyDescent="0.25">
      <c r="A13" s="68" t="s">
        <v>113</v>
      </c>
      <c r="B13" s="73" t="e">
        <f>'[3]SUIVI RETRAITE '!B17</f>
        <v>#DIV/0!</v>
      </c>
      <c r="C13" s="74">
        <f>'[3]SUIVI RETRAITE '!C17</f>
        <v>0</v>
      </c>
      <c r="D13" s="74">
        <f t="shared" si="6"/>
        <v>3428</v>
      </c>
      <c r="E13" s="74" t="e">
        <f t="shared" si="7"/>
        <v>#DIV/0!</v>
      </c>
      <c r="F13" s="74"/>
      <c r="G13" s="74"/>
      <c r="H13" s="74"/>
      <c r="I13" s="74"/>
      <c r="J13" s="74"/>
      <c r="K13" s="75" t="e">
        <f t="shared" si="0"/>
        <v>#DIV/0!</v>
      </c>
      <c r="L13" s="75" t="e">
        <f t="shared" si="1"/>
        <v>#DIV/0!</v>
      </c>
      <c r="M13" s="75" t="e">
        <f t="shared" si="2"/>
        <v>#DIV/0!</v>
      </c>
      <c r="N13" s="75" t="e">
        <f t="shared" si="3"/>
        <v>#DIV/0!</v>
      </c>
      <c r="O13" s="75" t="e">
        <f t="shared" si="5"/>
        <v>#DIV/0!</v>
      </c>
      <c r="P13" s="75" t="e">
        <f t="shared" si="4"/>
        <v>#DIV/0!</v>
      </c>
    </row>
    <row r="14" spans="1:16" s="60" customFormat="1" ht="20.25" hidden="1" customHeight="1" x14ac:dyDescent="0.25">
      <c r="A14" s="68" t="s">
        <v>114</v>
      </c>
      <c r="B14" s="73" t="e">
        <f>'[3]SUIVI RETRAITE '!B18</f>
        <v>#DIV/0!</v>
      </c>
      <c r="C14" s="74">
        <f>'[3]SUIVI RETRAITE '!C18</f>
        <v>0</v>
      </c>
      <c r="D14" s="74">
        <f t="shared" si="6"/>
        <v>3428</v>
      </c>
      <c r="E14" s="74" t="e">
        <f t="shared" si="7"/>
        <v>#DIV/0!</v>
      </c>
      <c r="F14" s="74"/>
      <c r="G14" s="74"/>
      <c r="H14" s="74"/>
      <c r="I14" s="74"/>
      <c r="J14" s="74"/>
      <c r="K14" s="75" t="e">
        <f t="shared" si="0"/>
        <v>#DIV/0!</v>
      </c>
      <c r="L14" s="75" t="e">
        <f t="shared" si="1"/>
        <v>#DIV/0!</v>
      </c>
      <c r="M14" s="75" t="e">
        <f t="shared" si="2"/>
        <v>#DIV/0!</v>
      </c>
      <c r="N14" s="75" t="e">
        <f t="shared" si="3"/>
        <v>#DIV/0!</v>
      </c>
      <c r="O14" s="75" t="e">
        <f t="shared" si="5"/>
        <v>#DIV/0!</v>
      </c>
      <c r="P14" s="75" t="e">
        <f t="shared" si="4"/>
        <v>#DIV/0!</v>
      </c>
    </row>
    <row r="15" spans="1:16" s="60" customFormat="1" ht="20.25" hidden="1" customHeight="1" x14ac:dyDescent="0.25">
      <c r="B15" s="76" t="e">
        <f>'[3]SUIVI RETRAITE '!B19</f>
        <v>#DIV/0!</v>
      </c>
      <c r="C15" s="77">
        <f>'[3]SUIVI RETRAITE '!C19</f>
        <v>0</v>
      </c>
      <c r="D15" s="62"/>
    </row>
    <row r="16" spans="1:16" ht="20.25" hidden="1" customHeight="1" x14ac:dyDescent="0.25"/>
    <row r="17" spans="1:18" ht="20.25" hidden="1" customHeight="1" x14ac:dyDescent="0.25"/>
    <row r="18" spans="1:18" ht="20.25" hidden="1" customHeight="1" x14ac:dyDescent="0.25">
      <c r="A18" t="s">
        <v>129</v>
      </c>
    </row>
    <row r="19" spans="1:18" s="60" customFormat="1" ht="20.25" hidden="1" customHeight="1" x14ac:dyDescent="0.25">
      <c r="A19" s="609" t="s">
        <v>130</v>
      </c>
      <c r="B19" s="609"/>
      <c r="C19" s="609"/>
      <c r="D19" s="609"/>
      <c r="E19" s="609"/>
      <c r="F19" s="609"/>
      <c r="G19" s="609"/>
      <c r="H19" s="609"/>
      <c r="I19" s="609"/>
      <c r="J19" s="609"/>
      <c r="K19" s="609"/>
      <c r="L19" s="609"/>
      <c r="M19" s="609"/>
      <c r="N19" s="880"/>
      <c r="O19" s="880"/>
      <c r="P19" s="880"/>
      <c r="Q19" s="880"/>
    </row>
    <row r="20" spans="1:18" s="60" customFormat="1" ht="12.75" customHeight="1" x14ac:dyDescent="0.25">
      <c r="A20" s="64"/>
      <c r="B20" s="183"/>
      <c r="C20" s="183"/>
      <c r="D20" s="183"/>
      <c r="E20" s="183"/>
      <c r="F20" s="183"/>
      <c r="G20" s="183"/>
      <c r="H20" s="183"/>
      <c r="I20" s="183"/>
      <c r="J20" s="64"/>
      <c r="K20" s="64"/>
      <c r="L20" s="64"/>
      <c r="M20" s="64"/>
      <c r="N20" s="182"/>
      <c r="O20" s="182"/>
      <c r="P20" s="182"/>
      <c r="Q20" s="182"/>
    </row>
    <row r="21" spans="1:18" s="60" customFormat="1" ht="25.5" customHeight="1" x14ac:dyDescent="0.25">
      <c r="B21" s="884" t="s">
        <v>197</v>
      </c>
      <c r="C21" s="884"/>
      <c r="D21" s="884"/>
      <c r="E21" s="884"/>
      <c r="F21" s="884"/>
      <c r="G21" s="884"/>
      <c r="H21" s="884"/>
      <c r="I21" s="884"/>
      <c r="J21" s="78"/>
      <c r="N21" s="881"/>
      <c r="O21" s="881"/>
      <c r="P21" s="881"/>
      <c r="Q21" s="881"/>
    </row>
    <row r="22" spans="1:18" s="60" customFormat="1" ht="20.25" hidden="1" customHeight="1" x14ac:dyDescent="0.25">
      <c r="A22" s="79" t="s">
        <v>131</v>
      </c>
      <c r="B22" s="79" t="s">
        <v>132</v>
      </c>
      <c r="C22" s="79" t="s">
        <v>133</v>
      </c>
      <c r="D22" s="79" t="s">
        <v>134</v>
      </c>
      <c r="E22" s="79" t="s">
        <v>135</v>
      </c>
      <c r="F22" s="79"/>
      <c r="G22" s="79"/>
      <c r="H22" s="79"/>
      <c r="I22" s="79"/>
      <c r="J22" s="79"/>
      <c r="K22" s="79" t="s">
        <v>136</v>
      </c>
      <c r="L22" s="79" t="s">
        <v>137</v>
      </c>
      <c r="M22" s="79" t="s">
        <v>138</v>
      </c>
      <c r="N22" s="79" t="s">
        <v>139</v>
      </c>
    </row>
    <row r="23" spans="1:18" s="81" customFormat="1" ht="20.25" hidden="1" customHeight="1" x14ac:dyDescent="0.2">
      <c r="A23" s="80" t="s">
        <v>87</v>
      </c>
      <c r="B23" s="80" t="s">
        <v>117</v>
      </c>
      <c r="C23" s="80" t="s">
        <v>118</v>
      </c>
      <c r="D23" s="80" t="s">
        <v>119</v>
      </c>
      <c r="E23" s="80" t="s">
        <v>120</v>
      </c>
      <c r="F23" s="80"/>
      <c r="G23" s="80"/>
      <c r="H23" s="80"/>
      <c r="I23" s="80"/>
      <c r="J23" s="80"/>
      <c r="K23" s="80" t="s">
        <v>140</v>
      </c>
      <c r="L23" s="80" t="s">
        <v>141</v>
      </c>
      <c r="M23" s="80" t="s">
        <v>125</v>
      </c>
      <c r="N23" s="80" t="s">
        <v>126</v>
      </c>
      <c r="R23" s="82"/>
    </row>
    <row r="24" spans="1:18" s="60" customFormat="1" ht="20.25" hidden="1" customHeight="1" x14ac:dyDescent="0.25">
      <c r="A24" s="83" t="s">
        <v>105</v>
      </c>
      <c r="B24" s="84">
        <f>'[3]SUIVI RETRAITE '!B7</f>
        <v>4910.7999999999993</v>
      </c>
      <c r="C24" s="85">
        <f>'[3]SUIVI RETRAITE '!C7</f>
        <v>3428</v>
      </c>
      <c r="D24" s="85">
        <f>C24</f>
        <v>3428</v>
      </c>
      <c r="E24" s="85">
        <f>B24</f>
        <v>4910.7999999999993</v>
      </c>
      <c r="F24" s="85"/>
      <c r="G24" s="85"/>
      <c r="H24" s="85"/>
      <c r="I24" s="85"/>
      <c r="J24" s="85"/>
      <c r="K24" s="86">
        <f>IF(E24&lt;D24,0,MIN(E24,D24))</f>
        <v>3428</v>
      </c>
      <c r="L24" s="85">
        <f>K24</f>
        <v>3428</v>
      </c>
      <c r="M24" s="86">
        <f>IF(E24&gt;8*D24,7*D24,IF(E24&lt;D24,0,E24-D24))</f>
        <v>1482.7999999999993</v>
      </c>
      <c r="N24" s="85">
        <f>M24</f>
        <v>1482.7999999999993</v>
      </c>
      <c r="R24" s="87"/>
    </row>
    <row r="25" spans="1:18" s="60" customFormat="1" ht="20.25" hidden="1" customHeight="1" x14ac:dyDescent="0.25">
      <c r="A25" s="83" t="s">
        <v>127</v>
      </c>
      <c r="B25" s="84">
        <f>'[3]SUIVI RETRAITE '!B8</f>
        <v>0</v>
      </c>
      <c r="C25" s="85">
        <f>'[3]SUIVI RETRAITE '!C8</f>
        <v>0</v>
      </c>
      <c r="D25" s="85">
        <f>D24+C25</f>
        <v>3428</v>
      </c>
      <c r="E25" s="85">
        <f>E24+B25</f>
        <v>4910.7999999999993</v>
      </c>
      <c r="F25" s="85"/>
      <c r="G25" s="85"/>
      <c r="H25" s="85"/>
      <c r="I25" s="85"/>
      <c r="J25" s="85"/>
      <c r="K25" s="85">
        <f t="shared" ref="K25:K35" si="8">IF(E25&lt;D25,0,MIN(E25,D25))</f>
        <v>3428</v>
      </c>
      <c r="L25" s="85">
        <f>K25-K24</f>
        <v>0</v>
      </c>
      <c r="M25" s="86">
        <f>IF(E25&gt;8*D25,7*D25,IF(E25&lt;D25,0,E25-D25))</f>
        <v>1482.7999999999993</v>
      </c>
      <c r="N25" s="85">
        <f>M25-M24</f>
        <v>0</v>
      </c>
      <c r="R25" s="87"/>
    </row>
    <row r="26" spans="1:18" s="60" customFormat="1" ht="20.25" hidden="1" customHeight="1" x14ac:dyDescent="0.25">
      <c r="A26" s="83" t="s">
        <v>106</v>
      </c>
      <c r="B26" s="84" t="e">
        <f>'[3]SUIVI RETRAITE '!B9</f>
        <v>#DIV/0!</v>
      </c>
      <c r="C26" s="85">
        <f>'[3]SUIVI RETRAITE '!C9</f>
        <v>0</v>
      </c>
      <c r="D26" s="85">
        <f>D25+C26</f>
        <v>3428</v>
      </c>
      <c r="E26" s="85" t="e">
        <f>E25+B26</f>
        <v>#DIV/0!</v>
      </c>
      <c r="F26" s="85"/>
      <c r="G26" s="85"/>
      <c r="H26" s="85"/>
      <c r="I26" s="85"/>
      <c r="J26" s="85"/>
      <c r="K26" s="85" t="e">
        <f t="shared" si="8"/>
        <v>#DIV/0!</v>
      </c>
      <c r="L26" s="85" t="e">
        <f>K26-K25</f>
        <v>#DIV/0!</v>
      </c>
      <c r="M26" s="86" t="e">
        <f t="shared" ref="M26:M35" si="9">IF(E26&gt;8*D26,7*D26,IF(E26&lt;D26,0,E26-D26))</f>
        <v>#DIV/0!</v>
      </c>
      <c r="N26" s="85" t="e">
        <f t="shared" ref="N26:N35" si="10">M26-M25</f>
        <v>#DIV/0!</v>
      </c>
      <c r="R26" s="87"/>
    </row>
    <row r="27" spans="1:18" s="60" customFormat="1" ht="20.25" hidden="1" customHeight="1" x14ac:dyDescent="0.25">
      <c r="A27" s="83" t="s">
        <v>128</v>
      </c>
      <c r="B27" s="84" t="e">
        <f>'[3]SUIVI RETRAITE '!B10</f>
        <v>#DIV/0!</v>
      </c>
      <c r="C27" s="85">
        <f>'[3]SUIVI RETRAITE '!C10</f>
        <v>0</v>
      </c>
      <c r="D27" s="85">
        <f>D26+C27</f>
        <v>3428</v>
      </c>
      <c r="E27" s="85" t="e">
        <f>E26+B27</f>
        <v>#DIV/0!</v>
      </c>
      <c r="F27" s="85"/>
      <c r="G27" s="85"/>
      <c r="H27" s="85"/>
      <c r="I27" s="85"/>
      <c r="J27" s="85"/>
      <c r="K27" s="85" t="e">
        <f t="shared" si="8"/>
        <v>#DIV/0!</v>
      </c>
      <c r="L27" s="85" t="e">
        <f t="shared" ref="L27:L35" si="11">K27-K26</f>
        <v>#DIV/0!</v>
      </c>
      <c r="M27" s="86" t="e">
        <f t="shared" si="9"/>
        <v>#DIV/0!</v>
      </c>
      <c r="N27" s="85" t="e">
        <f t="shared" si="10"/>
        <v>#DIV/0!</v>
      </c>
      <c r="R27" s="87"/>
    </row>
    <row r="28" spans="1:18" s="60" customFormat="1" ht="20.25" hidden="1" customHeight="1" x14ac:dyDescent="0.25">
      <c r="A28" s="83" t="s">
        <v>109</v>
      </c>
      <c r="B28" s="84" t="e">
        <f>'[3]SUIVI RETRAITE '!B11</f>
        <v>#DIV/0!</v>
      </c>
      <c r="C28" s="85">
        <f>'[3]SUIVI RETRAITE '!C11</f>
        <v>0</v>
      </c>
      <c r="D28" s="85">
        <f t="shared" ref="D28:D35" si="12">D27+C28</f>
        <v>3428</v>
      </c>
      <c r="E28" s="85" t="e">
        <f t="shared" ref="E28:E35" si="13">E27+B28</f>
        <v>#DIV/0!</v>
      </c>
      <c r="F28" s="85"/>
      <c r="G28" s="85"/>
      <c r="H28" s="85"/>
      <c r="I28" s="85"/>
      <c r="J28" s="85"/>
      <c r="K28" s="85" t="e">
        <f t="shared" si="8"/>
        <v>#DIV/0!</v>
      </c>
      <c r="L28" s="85" t="e">
        <f t="shared" si="11"/>
        <v>#DIV/0!</v>
      </c>
      <c r="M28" s="86" t="e">
        <f t="shared" si="9"/>
        <v>#DIV/0!</v>
      </c>
      <c r="N28" s="85" t="e">
        <f t="shared" si="10"/>
        <v>#DIV/0!</v>
      </c>
      <c r="R28" s="87"/>
    </row>
    <row r="29" spans="1:18" s="60" customFormat="1" ht="20.25" hidden="1" customHeight="1" x14ac:dyDescent="0.25">
      <c r="A29" s="83" t="s">
        <v>107</v>
      </c>
      <c r="B29" s="84" t="e">
        <f>'[3]SUIVI RETRAITE '!B12</f>
        <v>#DIV/0!</v>
      </c>
      <c r="C29" s="85">
        <f>'[3]SUIVI RETRAITE '!C12</f>
        <v>0</v>
      </c>
      <c r="D29" s="88">
        <f t="shared" si="12"/>
        <v>3428</v>
      </c>
      <c r="E29" s="88" t="e">
        <f t="shared" si="13"/>
        <v>#DIV/0!</v>
      </c>
      <c r="F29" s="88"/>
      <c r="G29" s="88"/>
      <c r="H29" s="88"/>
      <c r="I29" s="88"/>
      <c r="J29" s="88"/>
      <c r="K29" s="85" t="e">
        <f t="shared" si="8"/>
        <v>#DIV/0!</v>
      </c>
      <c r="L29" s="85" t="e">
        <f t="shared" si="11"/>
        <v>#DIV/0!</v>
      </c>
      <c r="M29" s="86" t="e">
        <f t="shared" si="9"/>
        <v>#DIV/0!</v>
      </c>
      <c r="N29" s="85" t="e">
        <f t="shared" si="10"/>
        <v>#DIV/0!</v>
      </c>
      <c r="R29" s="87"/>
    </row>
    <row r="30" spans="1:18" s="60" customFormat="1" ht="20.25" hidden="1" customHeight="1" x14ac:dyDescent="0.25">
      <c r="A30" s="83" t="s">
        <v>110</v>
      </c>
      <c r="B30" s="84" t="e">
        <f>'[3]SUIVI RETRAITE '!B13</f>
        <v>#DIV/0!</v>
      </c>
      <c r="C30" s="85">
        <f>'[3]SUIVI RETRAITE '!C13</f>
        <v>0</v>
      </c>
      <c r="D30" s="88">
        <f t="shared" si="12"/>
        <v>3428</v>
      </c>
      <c r="E30" s="88" t="e">
        <f t="shared" si="13"/>
        <v>#DIV/0!</v>
      </c>
      <c r="F30" s="88"/>
      <c r="G30" s="88"/>
      <c r="H30" s="88"/>
      <c r="I30" s="88"/>
      <c r="J30" s="88"/>
      <c r="K30" s="85" t="e">
        <f t="shared" si="8"/>
        <v>#DIV/0!</v>
      </c>
      <c r="L30" s="85" t="e">
        <f t="shared" si="11"/>
        <v>#DIV/0!</v>
      </c>
      <c r="M30" s="86" t="e">
        <f t="shared" si="9"/>
        <v>#DIV/0!</v>
      </c>
      <c r="N30" s="85" t="e">
        <f t="shared" si="10"/>
        <v>#DIV/0!</v>
      </c>
    </row>
    <row r="31" spans="1:18" s="60" customFormat="1" ht="20.25" hidden="1" customHeight="1" x14ac:dyDescent="0.25">
      <c r="A31" s="83" t="s">
        <v>111</v>
      </c>
      <c r="B31" s="84" t="e">
        <f>'[3]SUIVI RETRAITE '!B14</f>
        <v>#DIV/0!</v>
      </c>
      <c r="C31" s="85">
        <f>'[3]SUIVI RETRAITE '!C14</f>
        <v>0</v>
      </c>
      <c r="D31" s="88">
        <f t="shared" si="12"/>
        <v>3428</v>
      </c>
      <c r="E31" s="88" t="e">
        <f t="shared" si="13"/>
        <v>#DIV/0!</v>
      </c>
      <c r="F31" s="88"/>
      <c r="G31" s="88"/>
      <c r="H31" s="88"/>
      <c r="I31" s="88"/>
      <c r="J31" s="88"/>
      <c r="K31" s="85" t="e">
        <f t="shared" si="8"/>
        <v>#DIV/0!</v>
      </c>
      <c r="L31" s="85" t="e">
        <f t="shared" si="11"/>
        <v>#DIV/0!</v>
      </c>
      <c r="M31" s="86" t="e">
        <f t="shared" si="9"/>
        <v>#DIV/0!</v>
      </c>
      <c r="N31" s="85" t="e">
        <f t="shared" si="10"/>
        <v>#DIV/0!</v>
      </c>
    </row>
    <row r="32" spans="1:18" s="60" customFormat="1" ht="20.25" hidden="1" customHeight="1" x14ac:dyDescent="0.25">
      <c r="A32" s="83" t="s">
        <v>112</v>
      </c>
      <c r="B32" s="84" t="e">
        <f>'[3]SUIVI RETRAITE '!B15</f>
        <v>#DIV/0!</v>
      </c>
      <c r="C32" s="85">
        <f>'[3]SUIVI RETRAITE '!C15</f>
        <v>0</v>
      </c>
      <c r="D32" s="88">
        <f t="shared" si="12"/>
        <v>3428</v>
      </c>
      <c r="E32" s="88" t="e">
        <f t="shared" si="13"/>
        <v>#DIV/0!</v>
      </c>
      <c r="F32" s="88"/>
      <c r="G32" s="88"/>
      <c r="H32" s="88"/>
      <c r="I32" s="88"/>
      <c r="J32" s="88"/>
      <c r="K32" s="85" t="e">
        <f t="shared" si="8"/>
        <v>#DIV/0!</v>
      </c>
      <c r="L32" s="85" t="e">
        <f t="shared" si="11"/>
        <v>#DIV/0!</v>
      </c>
      <c r="M32" s="86" t="e">
        <f t="shared" si="9"/>
        <v>#DIV/0!</v>
      </c>
      <c r="N32" s="85" t="e">
        <f t="shared" si="10"/>
        <v>#DIV/0!</v>
      </c>
      <c r="R32" s="89"/>
    </row>
    <row r="33" spans="1:33" s="60" customFormat="1" ht="20.25" hidden="1" customHeight="1" x14ac:dyDescent="0.25">
      <c r="A33" s="83" t="s">
        <v>108</v>
      </c>
      <c r="B33" s="84" t="e">
        <f>'[3]SUIVI RETRAITE '!B16</f>
        <v>#DIV/0!</v>
      </c>
      <c r="C33" s="85">
        <f>'[3]SUIVI RETRAITE '!C16</f>
        <v>0</v>
      </c>
      <c r="D33" s="88">
        <f t="shared" si="12"/>
        <v>3428</v>
      </c>
      <c r="E33" s="88" t="e">
        <f t="shared" si="13"/>
        <v>#DIV/0!</v>
      </c>
      <c r="F33" s="88"/>
      <c r="G33" s="88"/>
      <c r="H33" s="88"/>
      <c r="I33" s="88"/>
      <c r="J33" s="88"/>
      <c r="K33" s="85" t="e">
        <f t="shared" si="8"/>
        <v>#DIV/0!</v>
      </c>
      <c r="L33" s="85" t="e">
        <f t="shared" si="11"/>
        <v>#DIV/0!</v>
      </c>
      <c r="M33" s="86" t="e">
        <f t="shared" si="9"/>
        <v>#DIV/0!</v>
      </c>
      <c r="N33" s="85" t="e">
        <f t="shared" si="10"/>
        <v>#DIV/0!</v>
      </c>
      <c r="R33" s="87"/>
    </row>
    <row r="34" spans="1:33" s="60" customFormat="1" ht="20.25" hidden="1" customHeight="1" x14ac:dyDescent="0.25">
      <c r="A34" s="83" t="s">
        <v>113</v>
      </c>
      <c r="B34" s="84" t="e">
        <f>'[3]SUIVI RETRAITE '!B17</f>
        <v>#DIV/0!</v>
      </c>
      <c r="C34" s="85">
        <f>'[3]SUIVI RETRAITE '!C17</f>
        <v>0</v>
      </c>
      <c r="D34" s="88">
        <f t="shared" si="12"/>
        <v>3428</v>
      </c>
      <c r="E34" s="88" t="e">
        <f t="shared" si="13"/>
        <v>#DIV/0!</v>
      </c>
      <c r="F34" s="88"/>
      <c r="G34" s="88"/>
      <c r="H34" s="88"/>
      <c r="I34" s="88"/>
      <c r="J34" s="88"/>
      <c r="K34" s="85" t="e">
        <f t="shared" si="8"/>
        <v>#DIV/0!</v>
      </c>
      <c r="L34" s="85" t="e">
        <f t="shared" si="11"/>
        <v>#DIV/0!</v>
      </c>
      <c r="M34" s="86" t="e">
        <f t="shared" si="9"/>
        <v>#DIV/0!</v>
      </c>
      <c r="N34" s="85" t="e">
        <f t="shared" si="10"/>
        <v>#DIV/0!</v>
      </c>
      <c r="R34" s="87"/>
    </row>
    <row r="35" spans="1:33" s="60" customFormat="1" ht="20.25" hidden="1" customHeight="1" x14ac:dyDescent="0.25">
      <c r="A35" s="83" t="s">
        <v>114</v>
      </c>
      <c r="B35" s="84" t="e">
        <f>'[3]SUIVI RETRAITE '!B18</f>
        <v>#DIV/0!</v>
      </c>
      <c r="C35" s="85">
        <f>'[3]SUIVI RETRAITE '!C18</f>
        <v>0</v>
      </c>
      <c r="D35" s="88">
        <f t="shared" si="12"/>
        <v>3428</v>
      </c>
      <c r="E35" s="88" t="e">
        <f t="shared" si="13"/>
        <v>#DIV/0!</v>
      </c>
      <c r="F35" s="88"/>
      <c r="G35" s="88"/>
      <c r="H35" s="88"/>
      <c r="I35" s="88"/>
      <c r="J35" s="88"/>
      <c r="K35" s="85" t="e">
        <f t="shared" si="8"/>
        <v>#DIV/0!</v>
      </c>
      <c r="L35" s="85" t="e">
        <f t="shared" si="11"/>
        <v>#DIV/0!</v>
      </c>
      <c r="M35" s="86" t="e">
        <f t="shared" si="9"/>
        <v>#DIV/0!</v>
      </c>
      <c r="N35" s="85" t="e">
        <f t="shared" si="10"/>
        <v>#DIV/0!</v>
      </c>
      <c r="R35" s="87"/>
    </row>
    <row r="36" spans="1:33" s="60" customFormat="1" ht="20.25" hidden="1" customHeight="1" x14ac:dyDescent="0.25">
      <c r="A36" s="90"/>
      <c r="B36" s="433" t="e">
        <f>'[3]SUIVI RETRAITE '!B19</f>
        <v>#DIV/0!</v>
      </c>
      <c r="C36" s="434">
        <f>'[3]SUIVI RETRAITE '!C19</f>
        <v>0</v>
      </c>
      <c r="D36" s="91"/>
      <c r="E36" s="91"/>
      <c r="F36" s="91"/>
      <c r="G36" s="91"/>
      <c r="H36" s="91"/>
      <c r="I36" s="91"/>
      <c r="J36" s="91"/>
      <c r="K36" s="91"/>
      <c r="L36" s="91"/>
      <c r="M36" s="92"/>
      <c r="N36" s="91"/>
      <c r="R36" s="87"/>
    </row>
    <row r="37" spans="1:33" s="60" customFormat="1" ht="20.25" customHeight="1" x14ac:dyDescent="0.25">
      <c r="A37" s="437"/>
      <c r="B37" s="437"/>
      <c r="C37" s="93"/>
      <c r="D37" s="93"/>
      <c r="E37" s="93"/>
      <c r="F37" s="93"/>
      <c r="G37" s="91"/>
      <c r="H37" s="91"/>
      <c r="I37" s="91"/>
      <c r="J37" s="91"/>
      <c r="K37" s="91"/>
      <c r="L37" s="91"/>
      <c r="M37" s="92"/>
      <c r="N37" s="91"/>
      <c r="R37" s="87"/>
    </row>
    <row r="38" spans="1:33" s="60" customFormat="1" ht="20.25" customHeight="1" x14ac:dyDescent="0.25">
      <c r="A38" s="438"/>
      <c r="B38" s="886" t="s">
        <v>116</v>
      </c>
      <c r="C38" s="887"/>
      <c r="D38" s="439"/>
      <c r="E38" s="885" t="s">
        <v>195</v>
      </c>
      <c r="F38" s="885"/>
      <c r="G38" s="881"/>
      <c r="H38" s="881"/>
      <c r="I38" s="881"/>
      <c r="J38" s="881"/>
      <c r="K38" s="881"/>
      <c r="L38" s="91"/>
      <c r="M38" s="92"/>
      <c r="N38" s="91"/>
      <c r="R38" s="87"/>
    </row>
    <row r="39" spans="1:33" ht="30" customHeight="1" x14ac:dyDescent="0.25">
      <c r="A39" s="438"/>
      <c r="B39" s="440"/>
      <c r="D39" s="95" t="s">
        <v>101</v>
      </c>
      <c r="E39" s="95" t="s">
        <v>147</v>
      </c>
      <c r="F39" s="96" t="s">
        <v>148</v>
      </c>
      <c r="G39" s="179"/>
      <c r="H39" s="163"/>
      <c r="I39" s="163"/>
      <c r="J39" s="163"/>
      <c r="L39" s="176" t="s">
        <v>147</v>
      </c>
      <c r="M39" s="96" t="s">
        <v>148</v>
      </c>
      <c r="N39" s="95" t="s">
        <v>147</v>
      </c>
      <c r="O39" s="96" t="s">
        <v>148</v>
      </c>
      <c r="P39" s="95" t="s">
        <v>147</v>
      </c>
      <c r="Q39" s="96" t="s">
        <v>148</v>
      </c>
      <c r="R39" s="95" t="s">
        <v>147</v>
      </c>
      <c r="S39" s="96" t="s">
        <v>148</v>
      </c>
      <c r="T39" s="95" t="s">
        <v>147</v>
      </c>
      <c r="U39" s="96" t="s">
        <v>148</v>
      </c>
      <c r="V39" s="95" t="s">
        <v>147</v>
      </c>
      <c r="W39" s="96" t="s">
        <v>148</v>
      </c>
      <c r="X39" s="95" t="s">
        <v>147</v>
      </c>
      <c r="Y39" s="96" t="s">
        <v>148</v>
      </c>
      <c r="Z39" s="95" t="s">
        <v>147</v>
      </c>
      <c r="AA39" s="96" t="s">
        <v>148</v>
      </c>
      <c r="AB39" s="95" t="s">
        <v>147</v>
      </c>
      <c r="AC39" s="96" t="s">
        <v>148</v>
      </c>
      <c r="AD39" s="95" t="s">
        <v>147</v>
      </c>
      <c r="AE39" s="96" t="s">
        <v>148</v>
      </c>
      <c r="AF39" s="95" t="s">
        <v>147</v>
      </c>
      <c r="AG39" s="96" t="s">
        <v>148</v>
      </c>
    </row>
    <row r="40" spans="1:33" ht="20.25" customHeight="1" x14ac:dyDescent="0.25">
      <c r="A40" s="438"/>
      <c r="B40" s="883" t="s">
        <v>40</v>
      </c>
      <c r="C40" s="830"/>
      <c r="D40" s="432">
        <f>'BP FORMAT JUILLET 2023'!D51</f>
        <v>6.9000000000000006E-2</v>
      </c>
      <c r="E40" s="98">
        <f>'BP FORMAT JUILLET 2023'!C51</f>
        <v>2034.069270090909</v>
      </c>
      <c r="F40" s="99">
        <f>ROUND(E40*D40,2)</f>
        <v>140.35</v>
      </c>
      <c r="G40" s="180"/>
      <c r="H40" s="164"/>
      <c r="I40" s="164"/>
      <c r="J40" s="164"/>
      <c r="L40" s="177">
        <f>L4</f>
        <v>0</v>
      </c>
      <c r="M40" s="99">
        <f>ROUND(L40*D40/100,2)</f>
        <v>0</v>
      </c>
      <c r="N40" s="99" t="e">
        <f>L5</f>
        <v>#DIV/0!</v>
      </c>
      <c r="O40" s="99" t="e">
        <f>ROUND(N40*D40/100,2)</f>
        <v>#DIV/0!</v>
      </c>
      <c r="P40" s="99" t="e">
        <f>L6</f>
        <v>#DIV/0!</v>
      </c>
      <c r="Q40" s="99" t="e">
        <f>ROUND(P40*D40/100,2)</f>
        <v>#DIV/0!</v>
      </c>
      <c r="R40" s="99" t="e">
        <f>L7</f>
        <v>#DIV/0!</v>
      </c>
      <c r="S40" s="99" t="e">
        <f>ROUND(R40*D40/100,2)</f>
        <v>#DIV/0!</v>
      </c>
      <c r="T40" s="99" t="e">
        <f>+L8</f>
        <v>#DIV/0!</v>
      </c>
      <c r="U40" s="99" t="e">
        <f>+ROUND(T40*D40/100,2)</f>
        <v>#DIV/0!</v>
      </c>
      <c r="V40" s="100" t="e">
        <f>L9</f>
        <v>#DIV/0!</v>
      </c>
      <c r="W40" s="101" t="e">
        <f>ROUND(V40*D40/100,2)</f>
        <v>#DIV/0!</v>
      </c>
      <c r="X40" s="100" t="e">
        <f>L10</f>
        <v>#DIV/0!</v>
      </c>
      <c r="Y40" s="101" t="e">
        <f>ROUND(X40*D40/100,2)</f>
        <v>#DIV/0!</v>
      </c>
      <c r="Z40" s="100" t="e">
        <f>L11</f>
        <v>#DIV/0!</v>
      </c>
      <c r="AA40" s="101" t="e">
        <f>ROUND(Z40*D40/100,2)</f>
        <v>#DIV/0!</v>
      </c>
      <c r="AB40" s="100" t="e">
        <f>L12</f>
        <v>#DIV/0!</v>
      </c>
      <c r="AC40" s="102" t="e">
        <f>ROUND(AB40*D40/100,2)</f>
        <v>#DIV/0!</v>
      </c>
      <c r="AD40" s="100" t="e">
        <f>L13</f>
        <v>#DIV/0!</v>
      </c>
      <c r="AE40" s="102" t="e">
        <f>ROUND(AD40*D40/100,2)</f>
        <v>#DIV/0!</v>
      </c>
      <c r="AF40" s="100" t="e">
        <f>L14</f>
        <v>#DIV/0!</v>
      </c>
      <c r="AG40" s="102" t="e">
        <f>ROUND(AF40*D40/100,2)</f>
        <v>#DIV/0!</v>
      </c>
    </row>
    <row r="41" spans="1:33" ht="20.25" customHeight="1" x14ac:dyDescent="0.25">
      <c r="A41" s="438"/>
      <c r="B41" s="883" t="s">
        <v>41</v>
      </c>
      <c r="C41" s="830"/>
      <c r="D41" s="432">
        <f>'BP FORMAT JUILLET 2023'!D52</f>
        <v>4.0000000000000001E-3</v>
      </c>
      <c r="E41" s="98">
        <f>'BP FORMAT JUILLET 2023'!C52</f>
        <v>2034.069270090909</v>
      </c>
      <c r="F41" s="99">
        <f t="shared" ref="F41:F47" si="14">ROUND(E41*D41,2)</f>
        <v>8.14</v>
      </c>
      <c r="G41" s="180"/>
      <c r="H41" s="164"/>
      <c r="I41" s="164"/>
      <c r="J41" s="164"/>
      <c r="L41" s="177">
        <f>B4</f>
        <v>0</v>
      </c>
      <c r="M41" s="99">
        <f t="shared" ref="M41:M48" si="15">ROUND(L41*D41/100,2)</f>
        <v>0</v>
      </c>
      <c r="N41" s="99" t="e">
        <f>B5</f>
        <v>#DIV/0!</v>
      </c>
      <c r="O41" s="99" t="e">
        <f t="shared" ref="O41:O48" si="16">ROUND(N41*D41/100,2)</f>
        <v>#DIV/0!</v>
      </c>
      <c r="P41" s="99" t="e">
        <f>B6</f>
        <v>#DIV/0!</v>
      </c>
      <c r="Q41" s="99" t="e">
        <f t="shared" ref="Q41:Q48" si="17">ROUND(P41*D41/100,2)</f>
        <v>#DIV/0!</v>
      </c>
      <c r="R41" s="99" t="e">
        <f>B7</f>
        <v>#DIV/0!</v>
      </c>
      <c r="S41" s="99" t="e">
        <f t="shared" ref="S41:S46" si="18">ROUND(R41*D41/100,2)</f>
        <v>#DIV/0!</v>
      </c>
      <c r="T41" s="99" t="e">
        <f>E8</f>
        <v>#DIV/0!</v>
      </c>
      <c r="U41" s="99" t="e">
        <f>ROUND(T41*D41/100,2)</f>
        <v>#DIV/0!</v>
      </c>
      <c r="V41" s="103" t="e">
        <f>E9</f>
        <v>#DIV/0!</v>
      </c>
      <c r="W41" s="102" t="e">
        <f>ROUND(V41*D41/100,2)</f>
        <v>#DIV/0!</v>
      </c>
      <c r="X41" s="100" t="e">
        <f>E10</f>
        <v>#DIV/0!</v>
      </c>
      <c r="Y41" s="102" t="e">
        <f>ROUND(X41*D41/100,2)</f>
        <v>#DIV/0!</v>
      </c>
      <c r="Z41" s="100" t="e">
        <f>E11</f>
        <v>#DIV/0!</v>
      </c>
      <c r="AA41" s="102" t="e">
        <f>ROUND(Z41*D41/100,2)</f>
        <v>#DIV/0!</v>
      </c>
      <c r="AB41" s="100" t="e">
        <f>E12</f>
        <v>#DIV/0!</v>
      </c>
      <c r="AC41" s="102" t="e">
        <f>ROUND(AB41*D41/100,2)</f>
        <v>#DIV/0!</v>
      </c>
      <c r="AD41" s="100" t="e">
        <f>E13</f>
        <v>#DIV/0!</v>
      </c>
      <c r="AE41" s="102" t="e">
        <f>ROUND(AD41*D41/100,2)</f>
        <v>#DIV/0!</v>
      </c>
      <c r="AF41" s="100" t="e">
        <f>E14</f>
        <v>#DIV/0!</v>
      </c>
      <c r="AG41" s="102" t="e">
        <f>ROUND(AF41*D41/100,2)</f>
        <v>#DIV/0!</v>
      </c>
    </row>
    <row r="42" spans="1:33" ht="20.25" customHeight="1" x14ac:dyDescent="0.25">
      <c r="A42" s="438"/>
      <c r="B42" s="883" t="s">
        <v>42</v>
      </c>
      <c r="C42" s="830"/>
      <c r="D42" s="432">
        <f>'BP FORMAT JUILLET 2023'!D53</f>
        <v>4.0099999999999997E-2</v>
      </c>
      <c r="E42" s="98">
        <f>'BP FORMAT JUILLET 2023'!C53</f>
        <v>2034.069270090909</v>
      </c>
      <c r="F42" s="99">
        <f t="shared" si="14"/>
        <v>81.569999999999993</v>
      </c>
      <c r="G42" s="180"/>
      <c r="H42" s="164"/>
      <c r="I42" s="164"/>
      <c r="J42" s="164"/>
      <c r="L42" s="177">
        <f>L4</f>
        <v>0</v>
      </c>
      <c r="M42" s="99">
        <f t="shared" si="15"/>
        <v>0</v>
      </c>
      <c r="N42" s="99" t="e">
        <f>L5</f>
        <v>#DIV/0!</v>
      </c>
      <c r="O42" s="99" t="e">
        <f t="shared" si="16"/>
        <v>#DIV/0!</v>
      </c>
      <c r="P42" s="99" t="e">
        <f>P40</f>
        <v>#DIV/0!</v>
      </c>
      <c r="Q42" s="99" t="e">
        <f t="shared" si="17"/>
        <v>#DIV/0!</v>
      </c>
      <c r="R42" s="99" t="e">
        <f>R40</f>
        <v>#DIV/0!</v>
      </c>
      <c r="S42" s="99" t="e">
        <f t="shared" si="18"/>
        <v>#DIV/0!</v>
      </c>
      <c r="T42" s="99" t="e">
        <f>T40</f>
        <v>#DIV/0!</v>
      </c>
      <c r="U42" s="99" t="e">
        <f t="shared" ref="U42:U47" si="19">ROUND(T42*D42/100,2)</f>
        <v>#DIV/0!</v>
      </c>
      <c r="V42" s="100" t="e">
        <f>V40</f>
        <v>#DIV/0!</v>
      </c>
      <c r="W42" s="101" t="e">
        <f>ROUND(V42*D42/100,2)</f>
        <v>#DIV/0!</v>
      </c>
      <c r="X42" s="100" t="e">
        <f>X40</f>
        <v>#DIV/0!</v>
      </c>
      <c r="Y42" s="102" t="e">
        <f>ROUND(X42*D42/100,2)</f>
        <v>#DIV/0!</v>
      </c>
      <c r="Z42" s="100" t="e">
        <f>Z40</f>
        <v>#DIV/0!</v>
      </c>
      <c r="AA42" s="102" t="e">
        <f>ROUND(Z42*D42/100,2)</f>
        <v>#DIV/0!</v>
      </c>
      <c r="AB42" s="100" t="e">
        <f>AB40</f>
        <v>#DIV/0!</v>
      </c>
      <c r="AC42" s="102" t="e">
        <f>ROUND(AB42*D42/100,2)</f>
        <v>#DIV/0!</v>
      </c>
      <c r="AD42" s="100" t="e">
        <f>AD40</f>
        <v>#DIV/0!</v>
      </c>
      <c r="AE42" s="102" t="e">
        <f>ROUND(AD42*D42/100,2)</f>
        <v>#DIV/0!</v>
      </c>
      <c r="AF42" s="100" t="e">
        <f>AF40</f>
        <v>#DIV/0!</v>
      </c>
      <c r="AG42" s="102" t="e">
        <f>ROUND(AF42*D42/100,2)</f>
        <v>#DIV/0!</v>
      </c>
    </row>
    <row r="43" spans="1:33" ht="20.25" customHeight="1" x14ac:dyDescent="0.25">
      <c r="A43" s="438"/>
      <c r="B43" s="883" t="s">
        <v>43</v>
      </c>
      <c r="C43" s="830"/>
      <c r="D43" s="432">
        <f>'BP FORMAT JUILLET 2023'!D54</f>
        <v>0</v>
      </c>
      <c r="E43" s="98">
        <f>'BP FORMAT JUILLET 2023'!C54</f>
        <v>0</v>
      </c>
      <c r="F43" s="99">
        <f t="shared" si="14"/>
        <v>0</v>
      </c>
      <c r="G43" s="180"/>
      <c r="H43" s="164"/>
      <c r="I43" s="164"/>
      <c r="J43" s="164"/>
      <c r="L43" s="177">
        <f>P4</f>
        <v>0</v>
      </c>
      <c r="M43" s="99">
        <f>ROUND(L43*D43/100,2)</f>
        <v>0</v>
      </c>
      <c r="N43" s="99" t="e">
        <f>P5</f>
        <v>#DIV/0!</v>
      </c>
      <c r="O43" s="99" t="e">
        <f t="shared" si="16"/>
        <v>#DIV/0!</v>
      </c>
      <c r="P43" s="99" t="e">
        <f>P6</f>
        <v>#DIV/0!</v>
      </c>
      <c r="Q43" s="99" t="e">
        <f t="shared" si="17"/>
        <v>#DIV/0!</v>
      </c>
      <c r="R43" s="99" t="e">
        <f>P7</f>
        <v>#DIV/0!</v>
      </c>
      <c r="S43" s="99" t="e">
        <f t="shared" si="18"/>
        <v>#DIV/0!</v>
      </c>
      <c r="T43" s="99" t="e">
        <f>P8</f>
        <v>#DIV/0!</v>
      </c>
      <c r="U43" s="99" t="e">
        <f t="shared" si="19"/>
        <v>#DIV/0!</v>
      </c>
      <c r="V43" s="100" t="e">
        <f>P9</f>
        <v>#DIV/0!</v>
      </c>
      <c r="W43" s="102" t="e">
        <f>ROUND(V43*D43/100,2)</f>
        <v>#DIV/0!</v>
      </c>
      <c r="X43" s="100" t="e">
        <f>P10</f>
        <v>#DIV/0!</v>
      </c>
      <c r="Y43" s="102" t="e">
        <f>ROUND(X43*D43/100,2)</f>
        <v>#DIV/0!</v>
      </c>
      <c r="Z43" s="100" t="e">
        <f>P11</f>
        <v>#DIV/0!</v>
      </c>
      <c r="AA43" s="102" t="e">
        <f>ROUND(Z43*D43/100,2)</f>
        <v>#DIV/0!</v>
      </c>
      <c r="AB43" s="100" t="e">
        <f>P12</f>
        <v>#DIV/0!</v>
      </c>
      <c r="AC43" s="102" t="e">
        <f>ROUND(AB43*D43/100,2)</f>
        <v>#DIV/0!</v>
      </c>
      <c r="AD43" s="100" t="e">
        <f>P13</f>
        <v>#DIV/0!</v>
      </c>
      <c r="AE43" s="102" t="e">
        <f>ROUND(AD43*D43/100,2)</f>
        <v>#DIV/0!</v>
      </c>
      <c r="AF43" s="100" t="e">
        <f>P14</f>
        <v>#DIV/0!</v>
      </c>
      <c r="AG43" s="102" t="e">
        <f>ROUND(AF43*D43/100,2)</f>
        <v>#DIV/0!</v>
      </c>
    </row>
    <row r="44" spans="1:33" ht="21.75" hidden="1" customHeight="1" x14ac:dyDescent="0.25">
      <c r="A44" s="438"/>
      <c r="B44" s="883"/>
      <c r="C44" s="830"/>
      <c r="D44" s="97"/>
      <c r="E44" s="98"/>
      <c r="F44" s="99">
        <f t="shared" si="14"/>
        <v>0</v>
      </c>
      <c r="G44" s="180"/>
      <c r="H44" s="164"/>
      <c r="I44" s="164"/>
      <c r="J44" s="164"/>
      <c r="L44" s="177">
        <f>L42</f>
        <v>0</v>
      </c>
      <c r="M44" s="99">
        <f t="shared" si="15"/>
        <v>0</v>
      </c>
      <c r="N44" s="99" t="e">
        <f>N42</f>
        <v>#DIV/0!</v>
      </c>
      <c r="O44" s="99" t="e">
        <f t="shared" si="16"/>
        <v>#DIV/0!</v>
      </c>
      <c r="P44" s="99" t="e">
        <f>P42</f>
        <v>#DIV/0!</v>
      </c>
      <c r="Q44" s="99" t="e">
        <f t="shared" si="17"/>
        <v>#DIV/0!</v>
      </c>
      <c r="R44" s="99" t="e">
        <f>R42</f>
        <v>#DIV/0!</v>
      </c>
      <c r="S44" s="99" t="e">
        <f t="shared" si="18"/>
        <v>#DIV/0!</v>
      </c>
      <c r="T44" s="99" t="e">
        <f>T42</f>
        <v>#DIV/0!</v>
      </c>
      <c r="U44" s="99" t="e">
        <f t="shared" si="19"/>
        <v>#DIV/0!</v>
      </c>
      <c r="V44" s="100" t="e">
        <f>V42</f>
        <v>#DIV/0!</v>
      </c>
      <c r="W44" s="102" t="e">
        <f>ROUND(V44*D44/100,2)</f>
        <v>#DIV/0!</v>
      </c>
      <c r="X44" s="100" t="e">
        <f>+X42</f>
        <v>#DIV/0!</v>
      </c>
      <c r="Y44" s="102" t="e">
        <f>ROUND($D$44*X44/100,2)</f>
        <v>#DIV/0!</v>
      </c>
      <c r="Z44" s="100" t="e">
        <f>+Z42</f>
        <v>#DIV/0!</v>
      </c>
      <c r="AA44" s="102" t="e">
        <f>ROUND($D$44*Z44/100,2)</f>
        <v>#DIV/0!</v>
      </c>
      <c r="AB44" s="100" t="e">
        <f>+AB42</f>
        <v>#DIV/0!</v>
      </c>
      <c r="AC44" s="102" t="e">
        <f>ROUND($D$44*AB44/100,2)</f>
        <v>#DIV/0!</v>
      </c>
      <c r="AD44" s="100" t="e">
        <f>+AD42</f>
        <v>#DIV/0!</v>
      </c>
      <c r="AE44" s="102" t="e">
        <f>ROUND($D$44*AD44/100,2)</f>
        <v>#DIV/0!</v>
      </c>
      <c r="AF44" s="100" t="e">
        <f>+AF42</f>
        <v>#DIV/0!</v>
      </c>
      <c r="AG44" s="102" t="e">
        <f>ROUND($D$44*AF44/100,2)</f>
        <v>#DIV/0!</v>
      </c>
    </row>
    <row r="45" spans="1:33" ht="21.75" hidden="1" customHeight="1" x14ac:dyDescent="0.25">
      <c r="A45" s="438"/>
      <c r="B45" s="883"/>
      <c r="C45" s="830"/>
      <c r="D45" s="97"/>
      <c r="E45" s="98"/>
      <c r="F45" s="99">
        <f t="shared" si="14"/>
        <v>0</v>
      </c>
      <c r="G45" s="180"/>
      <c r="H45" s="164"/>
      <c r="I45" s="164"/>
      <c r="J45" s="164"/>
      <c r="L45" s="177">
        <f>L43</f>
        <v>0</v>
      </c>
      <c r="M45" s="99">
        <f t="shared" si="15"/>
        <v>0</v>
      </c>
      <c r="N45" s="99" t="e">
        <f>N43</f>
        <v>#DIV/0!</v>
      </c>
      <c r="O45" s="99" t="e">
        <f t="shared" si="16"/>
        <v>#DIV/0!</v>
      </c>
      <c r="P45" s="99" t="e">
        <f>P43</f>
        <v>#DIV/0!</v>
      </c>
      <c r="Q45" s="99" t="e">
        <f t="shared" si="17"/>
        <v>#DIV/0!</v>
      </c>
      <c r="R45" s="99" t="e">
        <f>R43</f>
        <v>#DIV/0!</v>
      </c>
      <c r="S45" s="99" t="e">
        <f t="shared" si="18"/>
        <v>#DIV/0!</v>
      </c>
      <c r="T45" s="99" t="e">
        <f>T43</f>
        <v>#DIV/0!</v>
      </c>
      <c r="U45" s="99" t="e">
        <f t="shared" si="19"/>
        <v>#DIV/0!</v>
      </c>
      <c r="V45" s="100" t="e">
        <f>V43</f>
        <v>#DIV/0!</v>
      </c>
      <c r="W45" s="102" t="e">
        <f>ROUND($D$45*V45/100,2)</f>
        <v>#DIV/0!</v>
      </c>
      <c r="X45" s="100" t="e">
        <f>X43</f>
        <v>#DIV/0!</v>
      </c>
      <c r="Y45" s="102" t="e">
        <f>ROUND($D$45*X45/100,2)</f>
        <v>#DIV/0!</v>
      </c>
      <c r="Z45" s="100" t="e">
        <f>Z43</f>
        <v>#DIV/0!</v>
      </c>
      <c r="AA45" s="102" t="e">
        <f>ROUND($D$45*Z45/100,2)</f>
        <v>#DIV/0!</v>
      </c>
      <c r="AB45" s="100" t="e">
        <f>AB43</f>
        <v>#DIV/0!</v>
      </c>
      <c r="AC45" s="102" t="e">
        <f>ROUND($D$45*AB45/100,2)</f>
        <v>#DIV/0!</v>
      </c>
      <c r="AD45" s="100" t="e">
        <f>AD43</f>
        <v>#DIV/0!</v>
      </c>
      <c r="AE45" s="102" t="e">
        <f>ROUND($D$45*AD45/100,2)</f>
        <v>#DIV/0!</v>
      </c>
      <c r="AF45" s="100" t="e">
        <f>AF43</f>
        <v>#DIV/0!</v>
      </c>
      <c r="AG45" s="102" t="e">
        <f>ROUND($D$45*AF45/100,2)</f>
        <v>#DIV/0!</v>
      </c>
    </row>
    <row r="46" spans="1:33" ht="21.75" hidden="1" customHeight="1" x14ac:dyDescent="0.25">
      <c r="A46" s="438"/>
      <c r="B46" s="883"/>
      <c r="C46" s="830"/>
      <c r="D46" s="97"/>
      <c r="E46" s="98"/>
      <c r="F46" s="99">
        <f t="shared" si="14"/>
        <v>0</v>
      </c>
      <c r="G46" s="180"/>
      <c r="H46" s="164"/>
      <c r="I46" s="164"/>
      <c r="J46" s="164"/>
      <c r="L46" s="177">
        <f>L25</f>
        <v>0</v>
      </c>
      <c r="M46" s="99">
        <f t="shared" si="15"/>
        <v>0</v>
      </c>
      <c r="N46" s="99" t="e">
        <f>L26</f>
        <v>#DIV/0!</v>
      </c>
      <c r="O46" s="99" t="e">
        <f t="shared" si="16"/>
        <v>#DIV/0!</v>
      </c>
      <c r="P46" s="99" t="e">
        <f>L27</f>
        <v>#DIV/0!</v>
      </c>
      <c r="Q46" s="99" t="e">
        <f t="shared" si="17"/>
        <v>#DIV/0!</v>
      </c>
      <c r="R46" s="99" t="e">
        <f>L28</f>
        <v>#DIV/0!</v>
      </c>
      <c r="S46" s="99" t="e">
        <f t="shared" si="18"/>
        <v>#DIV/0!</v>
      </c>
      <c r="T46" s="99" t="e">
        <f>L29</f>
        <v>#DIV/0!</v>
      </c>
      <c r="U46" s="99" t="e">
        <f t="shared" si="19"/>
        <v>#DIV/0!</v>
      </c>
      <c r="V46" s="100" t="e">
        <f>L30</f>
        <v>#DIV/0!</v>
      </c>
      <c r="W46" s="101" t="e">
        <f>ROUND(V46*$D$46/100,2)</f>
        <v>#DIV/0!</v>
      </c>
      <c r="X46" s="100" t="e">
        <f>L31</f>
        <v>#DIV/0!</v>
      </c>
      <c r="Y46" s="102" t="e">
        <f>ROUND(X46*$D$46/100,2)</f>
        <v>#DIV/0!</v>
      </c>
      <c r="Z46" s="100" t="e">
        <f>L32</f>
        <v>#DIV/0!</v>
      </c>
      <c r="AA46" s="102" t="e">
        <f>ROUND(Z46*$D$46/100,2)</f>
        <v>#DIV/0!</v>
      </c>
      <c r="AB46" s="100" t="e">
        <f>L33</f>
        <v>#DIV/0!</v>
      </c>
      <c r="AC46" s="102" t="e">
        <f>ROUND(AB46*$D$46/100,2)</f>
        <v>#DIV/0!</v>
      </c>
      <c r="AD46" s="100" t="e">
        <f>L34</f>
        <v>#DIV/0!</v>
      </c>
      <c r="AE46" s="102" t="e">
        <f>ROUND(AD46*$D$46/100,2)</f>
        <v>#DIV/0!</v>
      </c>
      <c r="AF46" s="100" t="e">
        <f>L35</f>
        <v>#DIV/0!</v>
      </c>
      <c r="AG46" s="102" t="e">
        <f>ROUND(AF46*$D$46/100,2)</f>
        <v>#DIV/0!</v>
      </c>
    </row>
    <row r="47" spans="1:33" ht="21.75" hidden="1" customHeight="1" x14ac:dyDescent="0.25">
      <c r="A47" s="438"/>
      <c r="B47" s="883"/>
      <c r="C47" s="830"/>
      <c r="D47" s="97"/>
      <c r="E47" s="98"/>
      <c r="F47" s="99">
        <f t="shared" si="14"/>
        <v>0</v>
      </c>
      <c r="G47" s="180"/>
      <c r="H47" s="164"/>
      <c r="I47" s="164"/>
      <c r="J47" s="164"/>
      <c r="L47" s="177">
        <f>N25</f>
        <v>0</v>
      </c>
      <c r="M47" s="99">
        <f t="shared" si="15"/>
        <v>0</v>
      </c>
      <c r="N47" s="99" t="e">
        <f>N26</f>
        <v>#DIV/0!</v>
      </c>
      <c r="O47" s="99" t="e">
        <f t="shared" si="16"/>
        <v>#DIV/0!</v>
      </c>
      <c r="P47" s="99" t="e">
        <f>N27</f>
        <v>#DIV/0!</v>
      </c>
      <c r="Q47" s="99" t="e">
        <f t="shared" si="17"/>
        <v>#DIV/0!</v>
      </c>
      <c r="R47" s="99" t="e">
        <f>N28</f>
        <v>#DIV/0!</v>
      </c>
      <c r="S47" s="99" t="e">
        <f>ROUND(D47*R47/100,2)</f>
        <v>#DIV/0!</v>
      </c>
      <c r="T47" s="99" t="e">
        <f>N29</f>
        <v>#DIV/0!</v>
      </c>
      <c r="U47" s="99" t="e">
        <f t="shared" si="19"/>
        <v>#DIV/0!</v>
      </c>
      <c r="V47" s="100" t="e">
        <f>N30</f>
        <v>#DIV/0!</v>
      </c>
      <c r="W47" s="102" t="e">
        <f>ROUND(V47*D47/100,2)</f>
        <v>#DIV/0!</v>
      </c>
      <c r="X47" s="100" t="e">
        <f>N31</f>
        <v>#DIV/0!</v>
      </c>
      <c r="Y47" s="102" t="e">
        <f>ROUND(X47*D47/100,2)</f>
        <v>#DIV/0!</v>
      </c>
      <c r="Z47" s="100" t="e">
        <f>N32</f>
        <v>#DIV/0!</v>
      </c>
      <c r="AA47" s="102" t="e">
        <f>ROUND(D47*Z47/100,2)</f>
        <v>#DIV/0!</v>
      </c>
      <c r="AB47" s="100" t="e">
        <f>N33</f>
        <v>#DIV/0!</v>
      </c>
      <c r="AC47" s="102" t="e">
        <f>ROUND(D47*AB47/100,2)</f>
        <v>#DIV/0!</v>
      </c>
      <c r="AD47" s="100" t="e">
        <f>N34</f>
        <v>#DIV/0!</v>
      </c>
      <c r="AE47" s="102" t="e">
        <f>ROUND(D47*AD47/100,2)</f>
        <v>#DIV/0!</v>
      </c>
      <c r="AF47" s="100" t="e">
        <f>N35</f>
        <v>#DIV/0!</v>
      </c>
      <c r="AG47" s="102" t="e">
        <f>ROUND(AF47*D47/100,2)</f>
        <v>#DIV/0!</v>
      </c>
    </row>
    <row r="48" spans="1:33" ht="21.75" hidden="1" customHeight="1" x14ac:dyDescent="0.25">
      <c r="A48" s="438"/>
      <c r="B48" s="883"/>
      <c r="C48" s="830"/>
      <c r="D48" s="381"/>
      <c r="E48" s="158"/>
      <c r="F48" s="99"/>
      <c r="G48" s="120"/>
      <c r="H48" s="164"/>
      <c r="I48" s="164"/>
      <c r="J48" s="164"/>
      <c r="L48" s="177">
        <f>'[3]BP FEVRIER    '!C102</f>
        <v>0</v>
      </c>
      <c r="M48" s="99">
        <f t="shared" si="15"/>
        <v>0</v>
      </c>
      <c r="N48" s="99" t="e">
        <f>'[3]BP MARS   '!C102</f>
        <v>#DIV/0!</v>
      </c>
      <c r="O48" s="99" t="e">
        <f t="shared" si="16"/>
        <v>#DIV/0!</v>
      </c>
      <c r="P48" s="99" t="e">
        <f>'[3]BP AVRIL    '!C102</f>
        <v>#DIV/0!</v>
      </c>
      <c r="Q48" s="99" t="e">
        <f t="shared" si="17"/>
        <v>#DIV/0!</v>
      </c>
      <c r="R48" s="99" t="e">
        <f>'[3]BP MAI     '!C102</f>
        <v>#DIV/0!</v>
      </c>
      <c r="S48" s="99" t="e">
        <f>'[3]BP MAI     '!F102</f>
        <v>#DIV/0!</v>
      </c>
      <c r="T48" s="105" t="e">
        <f>'[3]BP  JUIN '!C102</f>
        <v>#DIV/0!</v>
      </c>
      <c r="U48" s="99" t="e">
        <f>ROUND(T48*D48/100,2)</f>
        <v>#DIV/0!</v>
      </c>
      <c r="V48" s="100" t="e">
        <f>+T48+'[3]BP JUILLET '!C102</f>
        <v>#DIV/0!</v>
      </c>
      <c r="W48" s="101" t="e">
        <f>ROUND(V48*$D$48/100,2)</f>
        <v>#DIV/0!</v>
      </c>
      <c r="X48" s="105" t="e">
        <f>V48+'[3]BP AOUT '!C101</f>
        <v>#DIV/0!</v>
      </c>
      <c r="Y48" s="102" t="e">
        <f>ROUND(X48*$D$48/100,2)</f>
        <v>#DIV/0!</v>
      </c>
      <c r="Z48" s="105" t="e">
        <f>X48+'[3]BP SEPTEMBRE '!C101</f>
        <v>#DIV/0!</v>
      </c>
      <c r="AA48" s="102" t="e">
        <f>ROUND(Z48*$D$48/100,2)</f>
        <v>#DIV/0!</v>
      </c>
      <c r="AB48" s="105" t="e">
        <f>Z48+'[3]BP OCTOBRE '!C101</f>
        <v>#DIV/0!</v>
      </c>
      <c r="AC48" s="102" t="e">
        <f>ROUND(AB48*$D$48/100,2)</f>
        <v>#DIV/0!</v>
      </c>
      <c r="AD48" s="105" t="e">
        <f>AB48+'[3]BP NOVEMBRE '!C101</f>
        <v>#DIV/0!</v>
      </c>
      <c r="AE48" s="102" t="e">
        <f>ROUND(AD48*$D$48/100,2)</f>
        <v>#DIV/0!</v>
      </c>
      <c r="AF48" s="105" t="e">
        <f>AD48+'[3]BP DECEMBRE '!C101</f>
        <v>#DIV/0!</v>
      </c>
      <c r="AG48" s="102" t="e">
        <f>ROUND(AF48*$D$48/100,2)</f>
        <v>#DIV/0!</v>
      </c>
    </row>
    <row r="49" spans="1:33" s="22" customFormat="1" ht="20.25" customHeight="1" x14ac:dyDescent="0.2">
      <c r="A49" s="438"/>
      <c r="B49" s="882" t="s">
        <v>93</v>
      </c>
      <c r="C49" s="882"/>
      <c r="D49" s="441"/>
      <c r="F49" s="144">
        <f>SUM(F40:F48)</f>
        <v>230.06</v>
      </c>
      <c r="H49" s="165"/>
      <c r="I49" s="165"/>
      <c r="J49" s="165"/>
      <c r="L49" s="178"/>
      <c r="M49" s="107">
        <f>SUM(M40:M48)</f>
        <v>0</v>
      </c>
      <c r="N49" s="107"/>
      <c r="O49" s="107" t="e">
        <f>SUM(O40:O48)</f>
        <v>#DIV/0!</v>
      </c>
      <c r="P49" s="107"/>
      <c r="Q49" s="107" t="e">
        <f>SUM(Q40:Q48)</f>
        <v>#DIV/0!</v>
      </c>
      <c r="R49" s="107"/>
      <c r="S49" s="107" t="e">
        <f>SUM(S40:S48)</f>
        <v>#DIV/0!</v>
      </c>
      <c r="T49" s="107"/>
      <c r="U49" s="107" t="e">
        <f>SUM(U40:U48)</f>
        <v>#DIV/0!</v>
      </c>
      <c r="V49" s="107"/>
      <c r="W49" s="107" t="e">
        <f>SUM(W40:W48)</f>
        <v>#DIV/0!</v>
      </c>
      <c r="X49" s="107"/>
      <c r="Y49" s="107" t="e">
        <f t="shared" ref="Y49:AG49" si="20">SUM(Y40:Y48)</f>
        <v>#DIV/0!</v>
      </c>
      <c r="Z49" s="107"/>
      <c r="AA49" s="107" t="e">
        <f t="shared" si="20"/>
        <v>#DIV/0!</v>
      </c>
      <c r="AB49" s="107"/>
      <c r="AC49" s="107" t="e">
        <f t="shared" si="20"/>
        <v>#DIV/0!</v>
      </c>
      <c r="AD49" s="107"/>
      <c r="AE49" s="107" t="e">
        <f t="shared" si="20"/>
        <v>#DIV/0!</v>
      </c>
      <c r="AF49" s="107"/>
      <c r="AG49" s="107" t="e">
        <f t="shared" si="20"/>
        <v>#DIV/0!</v>
      </c>
    </row>
    <row r="50" spans="1:33" ht="20.25" customHeight="1" x14ac:dyDescent="0.25">
      <c r="A50" s="438"/>
      <c r="B50" s="605" t="s">
        <v>196</v>
      </c>
      <c r="C50" s="605"/>
      <c r="D50" s="442"/>
      <c r="E50" s="443"/>
      <c r="F50" s="431">
        <f xml:space="preserve"> ROUND(IF(F49/E41&gt;0.1131,0.1131,F49/E41),4)</f>
        <v>0.11310000000000001</v>
      </c>
      <c r="G50" s="108"/>
      <c r="H50" s="108"/>
      <c r="I50" s="108"/>
      <c r="J50" s="108"/>
      <c r="L50" s="109"/>
      <c r="M50" s="109"/>
      <c r="N50" s="109"/>
      <c r="P50" s="108"/>
      <c r="R50" s="108"/>
    </row>
    <row r="51" spans="1:33" ht="20.25" customHeight="1" x14ac:dyDescent="0.25">
      <c r="B51" s="54"/>
      <c r="C51" s="54"/>
      <c r="E51" s="108"/>
      <c r="F51" s="108"/>
      <c r="G51" s="108"/>
      <c r="H51" s="108"/>
      <c r="I51" s="108"/>
      <c r="J51" s="108"/>
      <c r="L51" s="109"/>
      <c r="M51" s="109"/>
      <c r="N51" s="109"/>
      <c r="P51" s="108"/>
      <c r="R51" s="108"/>
    </row>
    <row r="52" spans="1:33" ht="20.25" customHeight="1" x14ac:dyDescent="0.25">
      <c r="T52" s="108"/>
    </row>
    <row r="53" spans="1:33" ht="20.25" customHeight="1" x14ac:dyDescent="0.25">
      <c r="B53" s="110"/>
      <c r="C53" s="110"/>
      <c r="D53" s="110"/>
      <c r="E53" s="110"/>
      <c r="F53" s="110"/>
      <c r="G53" s="110"/>
      <c r="H53" s="110"/>
      <c r="I53" s="110"/>
      <c r="J53" s="110"/>
      <c r="K53" s="110"/>
    </row>
    <row r="54" spans="1:33" ht="27.75" customHeight="1" x14ac:dyDescent="0.25">
      <c r="A54" s="94" t="s">
        <v>149</v>
      </c>
      <c r="B54" s="888" t="s">
        <v>150</v>
      </c>
      <c r="C54" s="645"/>
      <c r="D54" s="645"/>
      <c r="E54" s="645"/>
      <c r="F54" s="645"/>
      <c r="G54" s="645"/>
      <c r="H54" s="645"/>
      <c r="I54" s="645"/>
      <c r="J54" s="645"/>
      <c r="K54" s="645"/>
      <c r="O54" s="111"/>
      <c r="P54" s="111"/>
      <c r="Q54" s="111"/>
      <c r="R54" s="111"/>
      <c r="S54" s="111"/>
      <c r="T54" s="111"/>
    </row>
    <row r="55" spans="1:33" ht="20.25" customHeight="1" x14ac:dyDescent="0.25">
      <c r="A55" s="59" t="s">
        <v>291</v>
      </c>
      <c r="B55" s="59" t="s">
        <v>257</v>
      </c>
      <c r="C55" s="59" t="s">
        <v>221</v>
      </c>
      <c r="D55" s="59" t="s">
        <v>258</v>
      </c>
      <c r="E55" s="59" t="s">
        <v>259</v>
      </c>
      <c r="F55" s="59" t="s">
        <v>260</v>
      </c>
      <c r="G55" s="59" t="s">
        <v>261</v>
      </c>
      <c r="H55" s="47"/>
      <c r="K55" s="112"/>
    </row>
    <row r="56" spans="1:33" s="113" customFormat="1" ht="48.75" customHeight="1" x14ac:dyDescent="0.2">
      <c r="A56" s="114" t="s">
        <v>295</v>
      </c>
      <c r="B56" s="435" t="s">
        <v>151</v>
      </c>
      <c r="C56" s="435" t="s">
        <v>296</v>
      </c>
      <c r="D56" s="435" t="s">
        <v>101</v>
      </c>
      <c r="E56" s="435" t="s">
        <v>297</v>
      </c>
      <c r="F56" s="436" t="s">
        <v>152</v>
      </c>
      <c r="G56" s="436" t="s">
        <v>395</v>
      </c>
      <c r="H56" s="115">
        <v>56</v>
      </c>
      <c r="I56" s="116"/>
      <c r="J56" s="116"/>
      <c r="N56" s="116"/>
      <c r="O56" s="116"/>
      <c r="P56" s="116"/>
      <c r="Q56" s="116"/>
      <c r="R56" s="116"/>
      <c r="S56" s="116"/>
      <c r="T56" s="116"/>
    </row>
    <row r="57" spans="1:33" s="113" customFormat="1" ht="33" customHeight="1" x14ac:dyDescent="0.2">
      <c r="A57" s="383"/>
      <c r="B57" s="385">
        <f>'BP FORMAT JUILLET 2023'!J21+'BP FORMAT JUILLET 2023'!J22+'BP FORMAT JUILLET 2023'!J20+'BP FORMAT JUILLET 2023'!J18+'BP FORMAT JUILLET 2023'!J19</f>
        <v>0</v>
      </c>
      <c r="C57" s="146">
        <f>A57+B57</f>
        <v>0</v>
      </c>
      <c r="D57" s="147">
        <f>ROUND(IF(F49/E41&gt;0.1131,0.1131,F49/E41),4)</f>
        <v>0.11310000000000001</v>
      </c>
      <c r="E57" s="386">
        <f>IF(A57&gt;8037,0,IF(C57&gt;8037,8037-A57,B57))</f>
        <v>0</v>
      </c>
      <c r="F57" s="386">
        <f>ROUND(E57*D57,2)</f>
        <v>0</v>
      </c>
      <c r="G57" s="384">
        <f>IF(C57&gt;8037,B57-E57,0)</f>
        <v>0</v>
      </c>
      <c r="H57" s="115">
        <v>57</v>
      </c>
      <c r="I57" s="160"/>
      <c r="J57" s="160"/>
      <c r="N57" s="116"/>
      <c r="O57" s="116"/>
      <c r="P57" s="116"/>
      <c r="Q57" s="116"/>
      <c r="R57" s="116"/>
      <c r="S57" s="116"/>
      <c r="T57" s="116"/>
    </row>
    <row r="58" spans="1:33" ht="22.5" hidden="1" customHeight="1" x14ac:dyDescent="0.25">
      <c r="A58" s="145"/>
      <c r="B58" s="146"/>
      <c r="C58" s="146"/>
      <c r="D58" s="145"/>
      <c r="E58" s="162"/>
      <c r="F58" s="146"/>
      <c r="G58" s="161"/>
      <c r="H58" s="161"/>
      <c r="I58" s="161"/>
      <c r="J58" s="161"/>
      <c r="L58" s="120"/>
      <c r="M58" s="121"/>
      <c r="N58" s="122"/>
      <c r="O58" s="116"/>
      <c r="P58" s="116"/>
      <c r="Q58" s="116"/>
      <c r="R58" s="120"/>
      <c r="S58" s="120"/>
      <c r="T58" s="120"/>
    </row>
    <row r="59" spans="1:33" ht="22.5" hidden="1" customHeight="1" x14ac:dyDescent="0.25">
      <c r="A59" s="115" t="s">
        <v>153</v>
      </c>
      <c r="B59" s="104">
        <f>+'[3]BP FEVRIER    '!J59+'[3]BP FEVRIER    '!J60+'[3]BP FEVRIER    '!J61+'[3]BP FEVRIER    '!J62+'[3]BP FEVRIER    '!J63</f>
        <v>0</v>
      </c>
      <c r="C59" s="115">
        <f>B59+B57</f>
        <v>0</v>
      </c>
      <c r="D59" s="117" t="e">
        <f>IF(M49/B25&gt;0.1131,0.1131,M49/B25)</f>
        <v>#DIV/0!</v>
      </c>
      <c r="E59" s="118" t="e">
        <f>IF(C59&lt;5358,B59*D59,IF(C57&gt;5358,0,(5358-C57)*D59))</f>
        <v>#DIV/0!</v>
      </c>
      <c r="F59" s="118"/>
      <c r="G59" s="159"/>
      <c r="H59" s="159"/>
      <c r="I59" s="159"/>
      <c r="J59" s="159"/>
      <c r="K59" s="119">
        <f>IF(C59&lt;5358,B59,IF(C57&gt;5358,0,5358-C57))</f>
        <v>0</v>
      </c>
      <c r="L59" s="120"/>
      <c r="M59" s="121"/>
      <c r="N59" s="122"/>
      <c r="O59" s="116"/>
      <c r="P59" s="116"/>
      <c r="Q59" s="116"/>
      <c r="R59" s="120"/>
      <c r="S59" s="120"/>
      <c r="T59" s="120"/>
    </row>
    <row r="60" spans="1:33" ht="22.5" hidden="1" customHeight="1" x14ac:dyDescent="0.25">
      <c r="A60" s="115" t="s">
        <v>154</v>
      </c>
      <c r="B60" s="104" t="e">
        <f>+L91</f>
        <v>#DIV/0!</v>
      </c>
      <c r="C60" s="104" t="e">
        <f>C59+B60</f>
        <v>#DIV/0!</v>
      </c>
      <c r="D60" s="117" t="e">
        <f>IF(O49/B26&lt;0.1131,O49/B26,0.1131)</f>
        <v>#DIV/0!</v>
      </c>
      <c r="E60" s="118" t="e">
        <f>IF(C60&lt;5358,B60*D60,IF(C59&gt;5358,0,(5358-C59)*D60))</f>
        <v>#DIV/0!</v>
      </c>
      <c r="F60" s="118"/>
      <c r="G60" s="118"/>
      <c r="H60" s="118"/>
      <c r="I60" s="118"/>
      <c r="J60" s="118"/>
      <c r="K60" s="119" t="e">
        <f t="shared" ref="K60:K69" si="21">IF(C60&lt;5358,B60,IF(C59&gt;5358,0,5358-C59))</f>
        <v>#DIV/0!</v>
      </c>
      <c r="L60" s="120"/>
      <c r="M60" s="121"/>
      <c r="N60" s="122"/>
      <c r="O60" s="123"/>
      <c r="P60" s="123"/>
      <c r="Q60" s="123"/>
      <c r="R60" s="123"/>
      <c r="S60" s="123"/>
      <c r="T60" s="123"/>
    </row>
    <row r="61" spans="1:33" ht="22.5" hidden="1" customHeight="1" x14ac:dyDescent="0.25">
      <c r="A61" s="115" t="s">
        <v>155</v>
      </c>
      <c r="B61" s="104" t="e">
        <f>+M91</f>
        <v>#DIV/0!</v>
      </c>
      <c r="C61" s="104" t="e">
        <f>C60+B61</f>
        <v>#DIV/0!</v>
      </c>
      <c r="D61" s="117" t="e">
        <f>IF(Q49/B27&lt;0.1131,Q49/B27,0.1131)</f>
        <v>#DIV/0!</v>
      </c>
      <c r="E61" s="118" t="e">
        <f>IF(C61&lt;5358,B61*D61,IF(C60&gt;5358,0,(5358-C60)*D61))</f>
        <v>#DIV/0!</v>
      </c>
      <c r="F61" s="118"/>
      <c r="G61" s="118"/>
      <c r="H61" s="118"/>
      <c r="I61" s="118"/>
      <c r="J61" s="118"/>
      <c r="K61" s="119" t="e">
        <f t="shared" si="21"/>
        <v>#DIV/0!</v>
      </c>
      <c r="L61" s="120"/>
      <c r="M61" s="121"/>
      <c r="N61" s="122"/>
      <c r="O61" s="123"/>
      <c r="P61" s="123"/>
      <c r="Q61" s="123"/>
      <c r="R61" s="123"/>
      <c r="S61" s="123"/>
      <c r="T61" s="123"/>
      <c r="U61" s="2"/>
    </row>
    <row r="62" spans="1:33" ht="22.5" hidden="1" customHeight="1" x14ac:dyDescent="0.25">
      <c r="A62" s="115" t="s">
        <v>156</v>
      </c>
      <c r="B62" s="104" t="e">
        <f>+N91</f>
        <v>#DIV/0!</v>
      </c>
      <c r="C62" s="104" t="e">
        <f>C61+B62</f>
        <v>#DIV/0!</v>
      </c>
      <c r="D62" s="117" t="e">
        <f>IF(S49/B28&lt;0.1131,S49/B28,0.1131)</f>
        <v>#DIV/0!</v>
      </c>
      <c r="E62" s="118" t="e">
        <f>IF(C62&lt;5358,B62*D62,IF(C61&gt;5358,0,(5358-C61)*D62))</f>
        <v>#DIV/0!</v>
      </c>
      <c r="F62" s="118"/>
      <c r="G62" s="118"/>
      <c r="H62" s="118"/>
      <c r="I62" s="118"/>
      <c r="J62" s="118"/>
      <c r="K62" s="119" t="e">
        <f t="shared" si="21"/>
        <v>#DIV/0!</v>
      </c>
      <c r="L62" s="120"/>
      <c r="M62" s="121"/>
      <c r="N62" s="122"/>
      <c r="O62" s="123"/>
      <c r="P62" s="123"/>
      <c r="Q62" s="123"/>
      <c r="R62" s="123"/>
      <c r="S62" s="123"/>
      <c r="T62" s="123"/>
      <c r="U62" s="2"/>
    </row>
    <row r="63" spans="1:33" ht="22.5" hidden="1" customHeight="1" x14ac:dyDescent="0.25">
      <c r="A63" s="115" t="s">
        <v>145</v>
      </c>
      <c r="B63" s="104" t="e">
        <f>+O91</f>
        <v>#DIV/0!</v>
      </c>
      <c r="C63" s="104" t="e">
        <f>C62+B63</f>
        <v>#DIV/0!</v>
      </c>
      <c r="D63" s="117" t="e">
        <f>IF(U49/B29&lt;0.1131,U49/B29,0.1131)</f>
        <v>#DIV/0!</v>
      </c>
      <c r="E63" s="118" t="e">
        <f>IF(C63&lt;5358,B63*D63,IF(C62&gt;5358,0,(5358-C62)*D63))</f>
        <v>#DIV/0!</v>
      </c>
      <c r="F63" s="118"/>
      <c r="G63" s="118"/>
      <c r="H63" s="118"/>
      <c r="I63" s="118"/>
      <c r="J63" s="118"/>
      <c r="K63" s="119" t="e">
        <f t="shared" si="21"/>
        <v>#DIV/0!</v>
      </c>
      <c r="L63" s="120"/>
      <c r="M63" s="121"/>
      <c r="N63" s="122"/>
      <c r="O63" s="123"/>
      <c r="P63" s="123"/>
      <c r="Q63" s="123"/>
      <c r="R63" s="123"/>
      <c r="S63" s="123"/>
      <c r="T63" s="123"/>
      <c r="U63" s="2"/>
    </row>
    <row r="64" spans="1:33" ht="22.5" hidden="1" customHeight="1" x14ac:dyDescent="0.25">
      <c r="A64" s="115" t="s">
        <v>157</v>
      </c>
      <c r="B64" s="124" t="e">
        <f>'[3]BP JUILLET '!J59+'[3]BP JUILLET '!J60+'[3]BP JUILLET '!J61+'[3]BP JUILLET '!J62+'[3]BP JUILLET '!J63</f>
        <v>#DIV/0!</v>
      </c>
      <c r="C64" s="124" t="e">
        <f t="shared" ref="C64:C69" si="22">+B64+C63</f>
        <v>#DIV/0!</v>
      </c>
      <c r="D64" s="125" t="e">
        <f>+IF(W49/B30&gt;0.1131,0.1131,W49/B30)</f>
        <v>#DIV/0!</v>
      </c>
      <c r="E64" s="118" t="e">
        <f t="shared" ref="E64:E69" si="23">IF(C64&lt;5358,B64*D64,IF(C63&gt;5358,0,(5358-C63)*D64))</f>
        <v>#DIV/0!</v>
      </c>
      <c r="F64" s="118"/>
      <c r="G64" s="118"/>
      <c r="H64" s="118"/>
      <c r="I64" s="118"/>
      <c r="J64" s="118"/>
      <c r="K64" s="119" t="e">
        <f t="shared" si="21"/>
        <v>#DIV/0!</v>
      </c>
      <c r="L64" s="120"/>
      <c r="M64" s="121"/>
      <c r="N64" s="122"/>
      <c r="O64" s="123"/>
      <c r="P64" s="123"/>
      <c r="Q64" s="123"/>
      <c r="R64" s="123"/>
      <c r="S64" s="123"/>
      <c r="T64" s="123"/>
    </row>
    <row r="65" spans="1:20" ht="22.5" hidden="1" customHeight="1" x14ac:dyDescent="0.25">
      <c r="A65" s="115" t="s">
        <v>158</v>
      </c>
      <c r="B65" s="124" t="e">
        <f>Q91</f>
        <v>#DIV/0!</v>
      </c>
      <c r="C65" s="124" t="e">
        <f t="shared" si="22"/>
        <v>#DIV/0!</v>
      </c>
      <c r="D65" s="125" t="e">
        <f>+IF(Y49/B31&gt;0.1131,0.1131,Y49/B31)</f>
        <v>#DIV/0!</v>
      </c>
      <c r="E65" s="118" t="e">
        <f t="shared" si="23"/>
        <v>#DIV/0!</v>
      </c>
      <c r="F65" s="118"/>
      <c r="G65" s="118"/>
      <c r="H65" s="118"/>
      <c r="I65" s="118"/>
      <c r="J65" s="118"/>
      <c r="K65" s="119" t="e">
        <f t="shared" si="21"/>
        <v>#DIV/0!</v>
      </c>
      <c r="L65" s="120"/>
      <c r="M65" s="121"/>
      <c r="N65" s="122"/>
      <c r="O65" s="123"/>
      <c r="P65" s="123"/>
      <c r="Q65" s="123"/>
      <c r="R65" s="123"/>
      <c r="S65" s="123"/>
      <c r="T65" s="123"/>
    </row>
    <row r="66" spans="1:20" ht="22.5" hidden="1" customHeight="1" x14ac:dyDescent="0.25">
      <c r="A66" s="115" t="s">
        <v>159</v>
      </c>
      <c r="B66" s="124" t="e">
        <f>R91</f>
        <v>#DIV/0!</v>
      </c>
      <c r="C66" s="124" t="e">
        <f t="shared" si="22"/>
        <v>#DIV/0!</v>
      </c>
      <c r="D66" s="125" t="e">
        <f>+IF(AA49/B32&gt;0.1131,0.1131,AA49/E11)</f>
        <v>#DIV/0!</v>
      </c>
      <c r="E66" s="118" t="e">
        <f t="shared" si="23"/>
        <v>#DIV/0!</v>
      </c>
      <c r="F66" s="118"/>
      <c r="G66" s="118"/>
      <c r="H66" s="118"/>
      <c r="I66" s="118"/>
      <c r="J66" s="118"/>
      <c r="K66" s="119" t="e">
        <f t="shared" si="21"/>
        <v>#DIV/0!</v>
      </c>
      <c r="L66" s="120"/>
      <c r="M66" s="121"/>
      <c r="N66" s="122"/>
      <c r="O66" s="123"/>
      <c r="P66" s="123"/>
      <c r="Q66" s="123"/>
      <c r="R66" s="123"/>
      <c r="S66" s="123"/>
      <c r="T66" s="123"/>
    </row>
    <row r="67" spans="1:20" ht="22.5" hidden="1" customHeight="1" x14ac:dyDescent="0.25">
      <c r="A67" s="115" t="s">
        <v>160</v>
      </c>
      <c r="B67" s="124" t="e">
        <f>S91</f>
        <v>#DIV/0!</v>
      </c>
      <c r="C67" s="124" t="e">
        <f t="shared" si="22"/>
        <v>#DIV/0!</v>
      </c>
      <c r="D67" s="125" t="e">
        <f>+IF(AC49/B33&gt;0.1131,0.1131,AC49/EG2)</f>
        <v>#DIV/0!</v>
      </c>
      <c r="E67" s="118" t="e">
        <f t="shared" si="23"/>
        <v>#DIV/0!</v>
      </c>
      <c r="F67" s="118"/>
      <c r="G67" s="118"/>
      <c r="H67" s="118"/>
      <c r="I67" s="118"/>
      <c r="J67" s="118"/>
      <c r="K67" s="119" t="e">
        <f t="shared" si="21"/>
        <v>#DIV/0!</v>
      </c>
      <c r="L67" s="120"/>
      <c r="M67" s="121"/>
      <c r="N67" s="122"/>
      <c r="O67" s="123"/>
      <c r="P67" s="123"/>
      <c r="Q67" s="123"/>
      <c r="R67" s="123"/>
      <c r="S67" s="123"/>
      <c r="T67" s="123"/>
    </row>
    <row r="68" spans="1:20" ht="22.5" hidden="1" customHeight="1" x14ac:dyDescent="0.25">
      <c r="A68" s="115" t="s">
        <v>161</v>
      </c>
      <c r="B68" s="124" t="e">
        <f>T91</f>
        <v>#DIV/0!</v>
      </c>
      <c r="C68" s="124" t="e">
        <f t="shared" si="22"/>
        <v>#DIV/0!</v>
      </c>
      <c r="D68" s="125" t="e">
        <f>+IF(AE49/B34&gt;0.1131,0.1131,AE49/B34)</f>
        <v>#DIV/0!</v>
      </c>
      <c r="E68" s="118" t="e">
        <f t="shared" si="23"/>
        <v>#DIV/0!</v>
      </c>
      <c r="F68" s="118"/>
      <c r="G68" s="118"/>
      <c r="H68" s="118"/>
      <c r="I68" s="118"/>
      <c r="J68" s="118"/>
      <c r="K68" s="119" t="e">
        <f t="shared" si="21"/>
        <v>#DIV/0!</v>
      </c>
      <c r="L68" s="120"/>
      <c r="M68" s="121"/>
      <c r="N68" s="122"/>
      <c r="O68" s="123"/>
      <c r="P68" s="123"/>
      <c r="Q68" s="123"/>
      <c r="R68" s="123"/>
      <c r="S68" s="123"/>
      <c r="T68" s="123"/>
    </row>
    <row r="69" spans="1:20" ht="22.5" hidden="1" customHeight="1" x14ac:dyDescent="0.25">
      <c r="A69" s="115" t="s">
        <v>162</v>
      </c>
      <c r="B69" s="124" t="e">
        <f>U91</f>
        <v>#DIV/0!</v>
      </c>
      <c r="C69" s="124" t="e">
        <f t="shared" si="22"/>
        <v>#DIV/0!</v>
      </c>
      <c r="D69" s="125" t="e">
        <f>+IF(AG49/B35&gt;0.1131,0.1131,AG49/B35)</f>
        <v>#DIV/0!</v>
      </c>
      <c r="E69" s="118" t="e">
        <f t="shared" si="23"/>
        <v>#DIV/0!</v>
      </c>
      <c r="F69" s="118"/>
      <c r="G69" s="118"/>
      <c r="H69" s="118"/>
      <c r="I69" s="118"/>
      <c r="J69" s="118"/>
      <c r="K69" s="119" t="e">
        <f t="shared" si="21"/>
        <v>#DIV/0!</v>
      </c>
      <c r="L69" s="120"/>
      <c r="M69" s="121"/>
      <c r="N69" s="122"/>
      <c r="O69" s="123"/>
      <c r="P69" s="123"/>
      <c r="Q69" s="123"/>
      <c r="R69" s="123"/>
      <c r="S69" s="123"/>
      <c r="T69" s="123"/>
    </row>
    <row r="70" spans="1:20" ht="22.5" hidden="1" customHeight="1" x14ac:dyDescent="0.25">
      <c r="A70" s="47"/>
      <c r="B70" s="2"/>
      <c r="C70" s="2"/>
      <c r="D70" s="126" t="e">
        <f>+IF(AE52/E15&gt;0.1131,0.1131,AE52/E15)</f>
        <v>#DIV/0!</v>
      </c>
      <c r="M70" s="127" t="e">
        <f t="shared" ref="M70:M80" si="24">+K70-K69</f>
        <v>#DIV/0!</v>
      </c>
      <c r="Q70" s="128"/>
      <c r="R70" s="129">
        <f t="shared" ref="R70:R80" si="25">IF(C70&lt;5358,C70*0.9825,5358*0.9825)</f>
        <v>0</v>
      </c>
    </row>
    <row r="71" spans="1:20" ht="22.5" hidden="1" customHeight="1" x14ac:dyDescent="0.25">
      <c r="A71" s="47"/>
      <c r="B71" s="2"/>
      <c r="C71" s="2"/>
      <c r="D71" s="59" t="e">
        <f>+IF(AE53/E16&gt;0.1131,0.1131,AE53/E16)</f>
        <v>#DIV/0!</v>
      </c>
      <c r="M71" s="130">
        <f t="shared" si="24"/>
        <v>0</v>
      </c>
      <c r="Q71" s="131"/>
      <c r="R71" s="129">
        <f t="shared" si="25"/>
        <v>0</v>
      </c>
    </row>
    <row r="72" spans="1:20" ht="22.5" hidden="1" customHeight="1" x14ac:dyDescent="0.25">
      <c r="A72" s="110"/>
      <c r="B72" s="2"/>
      <c r="C72" s="2"/>
      <c r="D72" s="59" t="e">
        <f>+IF(AE54/E17&gt;0.1131,0.1131,AE54/E17)</f>
        <v>#DIV/0!</v>
      </c>
      <c r="M72" s="130">
        <f t="shared" si="24"/>
        <v>0</v>
      </c>
      <c r="Q72" s="132"/>
      <c r="R72" s="129">
        <f t="shared" si="25"/>
        <v>0</v>
      </c>
    </row>
    <row r="73" spans="1:20" ht="22.5" hidden="1" customHeight="1" x14ac:dyDescent="0.25">
      <c r="A73" s="110"/>
      <c r="B73" s="2"/>
      <c r="C73" s="2"/>
      <c r="D73" s="59" t="e">
        <f>+IF(AE55/E18&gt;0.1131,0.1131,AE55/E18)</f>
        <v>#DIV/0!</v>
      </c>
      <c r="M73" s="130">
        <f t="shared" si="24"/>
        <v>0</v>
      </c>
      <c r="Q73" s="132"/>
      <c r="R73" s="129">
        <f t="shared" si="25"/>
        <v>0</v>
      </c>
    </row>
    <row r="74" spans="1:20" ht="22.5" hidden="1" customHeight="1" x14ac:dyDescent="0.25">
      <c r="A74" s="110"/>
      <c r="B74" s="2"/>
      <c r="C74" s="2"/>
      <c r="D74" s="59" t="e">
        <f>+IF(AE56/E19&gt;0.1131,0.1131,AE56/E19)</f>
        <v>#DIV/0!</v>
      </c>
      <c r="M74" s="130">
        <f t="shared" si="24"/>
        <v>0</v>
      </c>
      <c r="Q74" s="132"/>
      <c r="R74" s="129">
        <f t="shared" si="25"/>
        <v>0</v>
      </c>
    </row>
    <row r="75" spans="1:20" ht="22.5" hidden="1" customHeight="1" x14ac:dyDescent="0.25">
      <c r="A75" s="110"/>
      <c r="B75" s="2"/>
      <c r="C75" s="2"/>
      <c r="D75" s="59" t="e">
        <f t="shared" ref="D75:D80" si="26">+IF(AE58/E21&gt;0.1131,0.1131,AE58/E21)</f>
        <v>#DIV/0!</v>
      </c>
      <c r="M75" s="130">
        <f t="shared" si="24"/>
        <v>0</v>
      </c>
      <c r="Q75" s="132"/>
      <c r="R75" s="129">
        <f t="shared" si="25"/>
        <v>0</v>
      </c>
    </row>
    <row r="76" spans="1:20" ht="22.5" hidden="1" customHeight="1" x14ac:dyDescent="0.25">
      <c r="A76" s="110"/>
      <c r="B76" s="2"/>
      <c r="C76" s="2"/>
      <c r="D76" s="59" t="e">
        <f t="shared" si="26"/>
        <v>#VALUE!</v>
      </c>
      <c r="M76" s="130">
        <f t="shared" si="24"/>
        <v>0</v>
      </c>
      <c r="Q76" s="132"/>
      <c r="R76" s="129">
        <f t="shared" si="25"/>
        <v>0</v>
      </c>
    </row>
    <row r="77" spans="1:20" ht="22.5" hidden="1" customHeight="1" x14ac:dyDescent="0.25">
      <c r="A77" s="110"/>
      <c r="B77" s="2"/>
      <c r="C77" s="2"/>
      <c r="D77" s="59" t="e">
        <f t="shared" si="26"/>
        <v>#VALUE!</v>
      </c>
      <c r="M77" s="130">
        <f t="shared" si="24"/>
        <v>0</v>
      </c>
      <c r="Q77" s="132"/>
      <c r="R77" s="129">
        <f t="shared" si="25"/>
        <v>0</v>
      </c>
    </row>
    <row r="78" spans="1:20" ht="22.5" hidden="1" customHeight="1" x14ac:dyDescent="0.25">
      <c r="A78" s="110"/>
      <c r="B78" s="2"/>
      <c r="C78" s="2"/>
      <c r="D78" s="59">
        <f t="shared" si="26"/>
        <v>0</v>
      </c>
      <c r="M78" s="130">
        <f t="shared" si="24"/>
        <v>0</v>
      </c>
      <c r="Q78" s="132"/>
      <c r="R78" s="129">
        <f t="shared" si="25"/>
        <v>0</v>
      </c>
    </row>
    <row r="79" spans="1:20" ht="22.5" hidden="1" customHeight="1" x14ac:dyDescent="0.25">
      <c r="A79" s="110"/>
      <c r="B79" s="2"/>
      <c r="C79" s="2"/>
      <c r="D79" s="59">
        <f t="shared" si="26"/>
        <v>0</v>
      </c>
      <c r="M79" s="130">
        <f t="shared" si="24"/>
        <v>0</v>
      </c>
      <c r="Q79" s="132"/>
      <c r="R79" s="129">
        <f t="shared" si="25"/>
        <v>0</v>
      </c>
    </row>
    <row r="80" spans="1:20" ht="22.5" hidden="1" customHeight="1" x14ac:dyDescent="0.25">
      <c r="A80" s="110"/>
      <c r="D80" s="59" t="e">
        <f t="shared" si="26"/>
        <v>#DIV/0!</v>
      </c>
      <c r="M80" s="130">
        <f t="shared" si="24"/>
        <v>0</v>
      </c>
      <c r="R80" s="129">
        <f t="shared" si="25"/>
        <v>0</v>
      </c>
    </row>
    <row r="81" spans="1:21" ht="20.25" customHeight="1" x14ac:dyDescent="0.25">
      <c r="A81" s="110"/>
      <c r="M81" s="133"/>
      <c r="R81" s="134"/>
    </row>
    <row r="82" spans="1:21" ht="20.25" customHeight="1" x14ac:dyDescent="0.25">
      <c r="A82" s="110"/>
      <c r="M82" s="133"/>
      <c r="R82" s="134"/>
    </row>
    <row r="83" spans="1:21" ht="20.25" customHeight="1" x14ac:dyDescent="0.25">
      <c r="A83" s="110"/>
      <c r="E83" s="154"/>
    </row>
    <row r="84" spans="1:21" ht="27" customHeight="1" x14ac:dyDescent="0.25">
      <c r="A84" s="445" t="s">
        <v>291</v>
      </c>
      <c r="B84" s="445" t="s">
        <v>257</v>
      </c>
      <c r="C84" s="445" t="s">
        <v>221</v>
      </c>
      <c r="D84" s="445" t="s">
        <v>258</v>
      </c>
      <c r="E84" s="445" t="s">
        <v>259</v>
      </c>
      <c r="F84" s="445" t="s">
        <v>260</v>
      </c>
      <c r="G84" s="111"/>
      <c r="H84" s="111"/>
      <c r="I84" s="111"/>
      <c r="J84" s="111"/>
      <c r="K84" s="111"/>
      <c r="L84" s="148" t="s">
        <v>154</v>
      </c>
      <c r="M84" s="135" t="s">
        <v>155</v>
      </c>
      <c r="N84" s="135" t="s">
        <v>144</v>
      </c>
      <c r="O84" s="135" t="s">
        <v>145</v>
      </c>
      <c r="P84" s="135" t="s">
        <v>146</v>
      </c>
      <c r="Q84" s="135" t="s">
        <v>158</v>
      </c>
      <c r="R84" s="135" t="s">
        <v>159</v>
      </c>
      <c r="S84" s="135" t="s">
        <v>160</v>
      </c>
      <c r="T84" s="135" t="s">
        <v>161</v>
      </c>
      <c r="U84" s="135" t="s">
        <v>162</v>
      </c>
    </row>
    <row r="85" spans="1:21" ht="20.25" customHeight="1" x14ac:dyDescent="0.25">
      <c r="A85" s="609" t="s">
        <v>163</v>
      </c>
      <c r="B85" s="609"/>
      <c r="C85" s="609"/>
      <c r="D85" s="609"/>
      <c r="E85" s="157">
        <f>'BP FORMAT JUILLET 2023'!J33-'BP FORMAT JUILLET 2023'!J22-'BP FORMAT JUILLET 2023'!J21-'BP FORMAT JUILLET 2023'!J20-'BP FORMAT JUILLET 2023'!J19-'BP FORMAT JUILLET 2023'!J18-'BP FORMAT JUILLET 2023'!J14-'BP FORMAT JUILLET 2023'!J17</f>
        <v>2034.069270090909</v>
      </c>
      <c r="F85" s="444">
        <v>85</v>
      </c>
      <c r="G85" s="150"/>
      <c r="H85" s="150"/>
      <c r="I85" s="150"/>
      <c r="J85" s="150"/>
      <c r="K85" s="150"/>
      <c r="L85" s="149" t="e">
        <f>'[3]BP MARS   '!J74-'[3]BP MARS   '!J59-'[3]BP MARS   '!J60-'[3]BP MARS   '!J61-'[3]BP MARS   '!J62-'[3]BP MARS   '!J63-'[3]HEURES SUPPLEMENTAIRES '!G83</f>
        <v>#DIV/0!</v>
      </c>
      <c r="M85" s="136" t="e">
        <f>'[3]BP AVRIL    '!J74-M88-'[3]BP AVRIL    '!J59-'[3]BP AVRIL    '!J60-'[3]BP AVRIL    '!J61-'[3]BP AVRIL    '!J62-'[3]BP AVRIL    '!J63</f>
        <v>#DIV/0!</v>
      </c>
      <c r="N85" s="136" t="e">
        <f>'[3]BP MAI     '!J74-'[3]BP MAI     '!J59-'[3]BP MAI     '!J60-'[3]BP MAI     '!J61-'[3]BP MAI     '!J62-'[3]BP MAI     '!J63-N88</f>
        <v>#DIV/0!</v>
      </c>
      <c r="O85" s="124" t="e">
        <f>'[3]BP  JUIN '!J74-'[3]HEURES SUPPLEMENTAIRES '!J83-'[3]HEURES SUPPLEMENTAIRES '!J85</f>
        <v>#DIV/0!</v>
      </c>
      <c r="P85" s="124" t="e">
        <f>'[3]BP JUILLET '!J74-'[3]BP JUILLET '!J59-'[3]BP JUILLET '!J60-'[3]BP JUILLET '!J61-'[3]BP JUILLET '!J62-'[3]BP JUILLET '!J63-'[3]BP JUILLET '!J55-'[3]BP JUILLET '!J56-'[3]BP JUILLET '!J57-'[3]BP JUILLET '!J58-'[3]BP JUILLET '!J17</f>
        <v>#DIV/0!</v>
      </c>
      <c r="Q85" s="124" t="e">
        <f>'[3]BP AOUT '!J74-'[3]BP AOUT '!J63-'[3]BP AOUT '!J62-'[3]BP AOUT '!J61-'[3]BP AOUT '!J60-'[3]BP AOUT '!J59-'[3]HEURES SUPPLEMENTAIRES '!L83</f>
        <v>#DIV/0!</v>
      </c>
      <c r="R85" s="124" t="e">
        <f>'[3]BP SEPTEMBRE '!J74-'[3]BP SEPTEMBRE '!J63-'[3]BP SEPTEMBRE '!J62-'[3]BP SEPTEMBRE '!J61-'[3]BP SEPTEMBRE '!J60-'[3]BP SEPTEMBRE '!J59-'[3]HEURES SUPPLEMENTAIRES '!M83</f>
        <v>#DIV/0!</v>
      </c>
      <c r="S85" s="124" t="e">
        <f>'[3]BP OCTOBRE '!J74-'[3]BP OCTOBRE '!J63-'[3]BP OCTOBRE '!J62-'[3]BP OCTOBRE '!J61-'[3]BP OCTOBRE '!J60-'[3]BP OCTOBRE '!J59-'[3]HEURES SUPPLEMENTAIRES '!N83</f>
        <v>#DIV/0!</v>
      </c>
      <c r="T85" s="124" t="e">
        <f>'[3]BP NOVEMBRE '!J74-'[3]BP NOVEMBRE '!J63-'[3]BP NOVEMBRE '!J62-'[3]BP NOVEMBRE '!J61-'[3]BP NOVEMBRE '!J60-'[3]BP NOVEMBRE '!J59-'[3]HEURES SUPPLEMENTAIRES '!O83</f>
        <v>#DIV/0!</v>
      </c>
      <c r="U85" s="124" t="e">
        <f>'[3]BP DECEMBRE '!J74-'[3]BP DECEMBRE '!J63-'[3]BP DECEMBRE '!J62-'[3]BP DECEMBRE '!J61-'[3]BP DECEMBRE '!J60-'[3]BP DECEMBRE '!J59-'[3]HEURES SUPPLEMENTAIRES '!P83</f>
        <v>#DIV/0!</v>
      </c>
    </row>
    <row r="86" spans="1:21" ht="20.25" customHeight="1" x14ac:dyDescent="0.25">
      <c r="A86" s="610" t="s">
        <v>381</v>
      </c>
      <c r="B86" s="611"/>
      <c r="C86" s="611"/>
      <c r="D86" s="612"/>
      <c r="E86" s="157">
        <f>G57</f>
        <v>0</v>
      </c>
      <c r="F86" s="444">
        <v>86</v>
      </c>
      <c r="G86" s="150"/>
      <c r="H86" s="150"/>
      <c r="I86" s="150"/>
      <c r="J86" s="150"/>
      <c r="K86" s="150"/>
      <c r="L86" s="149"/>
      <c r="M86" s="136"/>
      <c r="N86" s="136"/>
      <c r="O86" s="124"/>
      <c r="P86" s="124"/>
      <c r="Q86" s="124"/>
      <c r="R86" s="124"/>
      <c r="S86" s="124"/>
      <c r="T86" s="124"/>
      <c r="U86" s="124"/>
    </row>
    <row r="87" spans="1:21" ht="20.25" customHeight="1" x14ac:dyDescent="0.25">
      <c r="A87" s="788" t="s">
        <v>382</v>
      </c>
      <c r="B87" s="884"/>
      <c r="C87" s="884"/>
      <c r="D87" s="789"/>
      <c r="E87" s="157">
        <f>E85+E86</f>
        <v>2034.069270090909</v>
      </c>
      <c r="F87" s="444">
        <v>87</v>
      </c>
      <c r="G87" s="150"/>
      <c r="H87" s="150"/>
      <c r="I87" s="150"/>
      <c r="J87" s="150"/>
      <c r="K87" s="150"/>
      <c r="L87" s="149"/>
      <c r="M87" s="136"/>
      <c r="N87" s="136"/>
      <c r="O87" s="124"/>
      <c r="P87" s="124"/>
      <c r="Q87" s="124"/>
      <c r="R87" s="124"/>
      <c r="S87" s="124"/>
      <c r="T87" s="124"/>
      <c r="U87" s="124"/>
    </row>
    <row r="88" spans="1:21" ht="20.25" customHeight="1" x14ac:dyDescent="0.25">
      <c r="A88" s="610" t="s">
        <v>19</v>
      </c>
      <c r="B88" s="611"/>
      <c r="C88" s="611"/>
      <c r="D88" s="612"/>
      <c r="E88" s="157">
        <f>+'BP FORMAT JUILLET 2023'!J17</f>
        <v>0</v>
      </c>
      <c r="F88" s="444">
        <v>88</v>
      </c>
      <c r="G88" s="150"/>
      <c r="H88" s="150"/>
      <c r="I88" s="150"/>
      <c r="J88" s="150"/>
      <c r="K88" s="150"/>
      <c r="L88" s="149">
        <f>+'[3]BP MARS   '!J17+'[3]BP MARS   '!J55+'[3]BP MARS   '!J56+'[3]BP MARS   '!J57+'[3]BP MARS   '!J58</f>
        <v>0</v>
      </c>
      <c r="M88" s="136">
        <f>'[3]BP AVRIL    '!J17+'[3]BP AVRIL    '!J55+'[3]BP AVRIL    '!J56+'[3]BP AVRIL    '!J57+'[3]BP AVRIL    '!J58</f>
        <v>0</v>
      </c>
      <c r="N88" s="136">
        <f>'[3]BP MAI     '!J58+'[3]BP MAI     '!J57+'[3]BP MAI     '!J56+'[3]BP MAI     '!J55+'[3]BP MAI     '!J17</f>
        <v>0</v>
      </c>
      <c r="O88" s="124">
        <f>'[3]BP  JUIN '!J17+'[3]BP  JUIN '!J55+'[3]BP  JUIN '!J56+'[3]BP  JUIN '!J57+'[3]BP  JUIN '!J58</f>
        <v>0</v>
      </c>
      <c r="P88" s="124">
        <f>'[3]BP JUILLET '!J17+'[3]BP JUILLET '!J55+'[3]BP JUILLET '!J56+'[3]BP JUILLET '!J57+'[3]BP JUILLET '!J58</f>
        <v>0</v>
      </c>
      <c r="Q88" s="124">
        <f>'[3]BP AOUT '!J17+'[3]BP AOUT '!J55+'[3]BP AOUT '!J56+'[3]BP AOUT '!J57+'[3]BP AOUT '!J58</f>
        <v>0</v>
      </c>
      <c r="R88" s="124">
        <f>'[3]BP SEPTEMBRE '!J17+'[3]BP SEPTEMBRE '!J55+'[3]BP SEPTEMBRE '!J56+'[3]BP SEPTEMBRE '!J57+'[3]BP SEPTEMBRE '!J58</f>
        <v>0</v>
      </c>
      <c r="S88" s="124">
        <f>'[3]BP OCTOBRE '!J17+'[3]BP OCTOBRE '!J55+'[3]BP OCTOBRE '!J56+'[3]BP OCTOBRE '!J57+'[3]BP OCTOBRE '!J58</f>
        <v>0</v>
      </c>
      <c r="T88" s="124">
        <f>'[3]BP NOVEMBRE '!J17+'[3]BP NOVEMBRE '!J55+'[3]BP NOVEMBRE '!J56+'[3]BP NOVEMBRE '!J57+'[3]BP NOVEMBRE '!J58</f>
        <v>0</v>
      </c>
      <c r="U88" s="124">
        <f>'[3]BP DECEMBRE '!J17+'[3]BP DECEMBRE '!J55+'[3]BP DECEMBRE '!J56+'[3]BP DECEMBRE '!J57+'[3]BP DECEMBRE '!J58</f>
        <v>0</v>
      </c>
    </row>
    <row r="89" spans="1:21" ht="20.25" customHeight="1" x14ac:dyDescent="0.25">
      <c r="A89" s="610" t="s">
        <v>396</v>
      </c>
      <c r="B89" s="611"/>
      <c r="C89" s="611"/>
      <c r="D89" s="612"/>
      <c r="E89" s="157">
        <f>+'BP FORMAT JUILLET 2023'!J14</f>
        <v>0</v>
      </c>
      <c r="F89" s="444">
        <v>89</v>
      </c>
      <c r="G89" s="150"/>
      <c r="H89" s="150"/>
      <c r="I89" s="150"/>
      <c r="J89" s="150"/>
      <c r="K89" s="150"/>
      <c r="L89" s="149"/>
      <c r="M89" s="136"/>
      <c r="N89" s="136"/>
      <c r="O89" s="124"/>
      <c r="P89" s="124"/>
      <c r="Q89" s="124"/>
      <c r="R89" s="124"/>
      <c r="S89" s="124"/>
      <c r="T89" s="124"/>
      <c r="U89" s="124"/>
    </row>
    <row r="90" spans="1:21" ht="20.25" customHeight="1" x14ac:dyDescent="0.25">
      <c r="A90" s="610" t="s">
        <v>294</v>
      </c>
      <c r="B90" s="611"/>
      <c r="C90" s="611"/>
      <c r="D90" s="612"/>
      <c r="E90" s="157">
        <f>E88+E89</f>
        <v>0</v>
      </c>
      <c r="F90" s="444">
        <v>90</v>
      </c>
      <c r="G90" s="150"/>
      <c r="H90" s="150"/>
      <c r="I90" s="150"/>
      <c r="J90" s="150"/>
      <c r="K90" s="150"/>
      <c r="L90" s="149">
        <f t="shared" ref="L90:U90" si="27">L88+K90</f>
        <v>0</v>
      </c>
      <c r="M90" s="136">
        <f t="shared" si="27"/>
        <v>0</v>
      </c>
      <c r="N90" s="136">
        <f t="shared" si="27"/>
        <v>0</v>
      </c>
      <c r="O90" s="136">
        <f t="shared" si="27"/>
        <v>0</v>
      </c>
      <c r="P90" s="136">
        <f t="shared" si="27"/>
        <v>0</v>
      </c>
      <c r="Q90" s="136">
        <f t="shared" si="27"/>
        <v>0</v>
      </c>
      <c r="R90" s="136">
        <f t="shared" si="27"/>
        <v>0</v>
      </c>
      <c r="S90" s="136">
        <f t="shared" si="27"/>
        <v>0</v>
      </c>
      <c r="T90" s="136">
        <f t="shared" si="27"/>
        <v>0</v>
      </c>
      <c r="U90" s="136">
        <f t="shared" si="27"/>
        <v>0</v>
      </c>
    </row>
    <row r="91" spans="1:21" ht="24" customHeight="1" x14ac:dyDescent="0.25">
      <c r="A91" s="609" t="s">
        <v>164</v>
      </c>
      <c r="B91" s="609"/>
      <c r="C91" s="609"/>
      <c r="D91" s="609"/>
      <c r="E91" s="157">
        <f>E57</f>
        <v>0</v>
      </c>
      <c r="F91" s="444">
        <v>91</v>
      </c>
      <c r="G91" s="150"/>
      <c r="H91" s="150"/>
      <c r="I91" s="150"/>
      <c r="J91" s="150"/>
      <c r="K91" s="150"/>
      <c r="L91" s="149" t="e">
        <f>+'[3]BP MARS   '!J59+'[3]BP MARS   '!J60+'[3]BP MARS   '!J61+'[3]BP MARS   '!J62+'[3]BP MARS   '!J63</f>
        <v>#DIV/0!</v>
      </c>
      <c r="M91" s="136" t="e">
        <f>+'[3]BP AVRIL    '!J59+'[3]BP AVRIL    '!J60+'[3]BP AVRIL    '!J61+'[3]BP AVRIL    '!J62+'[3]BP AVRIL    '!J63</f>
        <v>#DIV/0!</v>
      </c>
      <c r="N91" s="136" t="e">
        <f>+'[3]BP MAI     '!J59+'[3]BP MAI     '!J60+'[3]BP MAI     '!J61+'[3]BP MAI     '!J62+'[3]BP MAI     '!J63</f>
        <v>#DIV/0!</v>
      </c>
      <c r="O91" s="124" t="e">
        <f>'[3]BP  JUIN '!J59+'[3]BP  JUIN '!J60+'[3]BP  JUIN '!J61+'[3]BP  JUIN '!J62+'[3]BP  JUIN '!J63</f>
        <v>#DIV/0!</v>
      </c>
      <c r="P91" s="124" t="e">
        <f>'[3]BP JUILLET '!J59+'[3]BP JUILLET '!J60+'[3]BP JUILLET '!J61+'[3]BP JUILLET '!J62+'[3]BP JUILLET '!J63</f>
        <v>#DIV/0!</v>
      </c>
      <c r="Q91" s="124" t="e">
        <f>'[3]BP AOUT '!J59+'[3]BP AOUT '!J60+'[3]BP AOUT '!J61+'[3]BP AOUT '!J62+'[3]BP AOUT '!J63</f>
        <v>#DIV/0!</v>
      </c>
      <c r="R91" s="124" t="e">
        <f>'[3]BP SEPTEMBRE '!J59+'[3]BP SEPTEMBRE '!J60+'[3]BP SEPTEMBRE '!J61+'[3]BP SEPTEMBRE '!J62+'[3]BP SEPTEMBRE '!J63</f>
        <v>#DIV/0!</v>
      </c>
      <c r="S91" s="124" t="e">
        <f>'[3]BP OCTOBRE '!J59+'[3]BP OCTOBRE '!J60+'[3]BP OCTOBRE '!J61+'[3]BP OCTOBRE '!J62+'[3]BP OCTOBRE '!J63</f>
        <v>#DIV/0!</v>
      </c>
      <c r="T91" s="124" t="e">
        <f>'[3]BP NOVEMBRE '!J59+'[3]BP NOVEMBRE '!J60+'[3]BP NOVEMBRE '!J61+'[3]BP NOVEMBRE '!J62+'[3]BP NOVEMBRE '!J63</f>
        <v>#DIV/0!</v>
      </c>
      <c r="U91" s="124" t="e">
        <f>'[3]BP DECEMBRE '!J59+'[3]BP DECEMBRE '!J60+'[3]BP DECEMBRE '!J61+'[3]BP DECEMBRE '!J62+'[3]BP DECEMBRE '!J63</f>
        <v>#DIV/0!</v>
      </c>
    </row>
    <row r="92" spans="1:21" ht="24" customHeight="1" x14ac:dyDescent="0.25">
      <c r="A92" s="609" t="s">
        <v>398</v>
      </c>
      <c r="B92" s="609"/>
      <c r="C92" s="609"/>
      <c r="D92" s="609"/>
      <c r="E92" s="157">
        <f>'BP FORMAT JUILLET 2023'!F66</f>
        <v>141.43</v>
      </c>
      <c r="F92" s="444"/>
      <c r="G92" s="150"/>
      <c r="H92" s="150"/>
      <c r="I92" s="150"/>
      <c r="J92" s="150"/>
      <c r="K92" s="150"/>
      <c r="L92" s="149" t="e">
        <f>'[3]BP MARS   '!F105</f>
        <v>#DIV/0!</v>
      </c>
      <c r="M92" s="136" t="e">
        <f>'[3]BP AVRIL    '!F105</f>
        <v>#DIV/0!</v>
      </c>
      <c r="N92" s="136" t="e">
        <f>'[3]BP MAI     '!F105</f>
        <v>#DIV/0!</v>
      </c>
      <c r="O92" s="124" t="e">
        <f>+'[3]BP  JUIN '!F105</f>
        <v>#DIV/0!</v>
      </c>
      <c r="P92" s="124" t="e">
        <f>'[3]BP JUILLET '!F105</f>
        <v>#DIV/0!</v>
      </c>
      <c r="Q92" s="124" t="e">
        <f>'[3]BP AOUT '!F105</f>
        <v>#DIV/0!</v>
      </c>
      <c r="R92" s="124" t="e">
        <f>'[3]BP SEPTEMBRE '!F105</f>
        <v>#DIV/0!</v>
      </c>
      <c r="S92" s="124" t="e">
        <f>'[3]BP OCTOBRE '!F105</f>
        <v>#DIV/0!</v>
      </c>
      <c r="T92" s="124" t="e">
        <f>'[3]BP NOVEMBRE '!F105</f>
        <v>#DIV/0!</v>
      </c>
      <c r="U92" s="124" t="e">
        <f>'[3]BP DECEMBRE '!F105</f>
        <v>#DIV/0!</v>
      </c>
    </row>
    <row r="93" spans="1:21" ht="24" customHeight="1" x14ac:dyDescent="0.25">
      <c r="A93" s="609" t="s">
        <v>165</v>
      </c>
      <c r="B93" s="609"/>
      <c r="C93" s="609"/>
      <c r="D93" s="609"/>
      <c r="E93" s="157">
        <f>'BP FORMAT JUILLET 2023'!F67</f>
        <v>60.32</v>
      </c>
      <c r="F93" s="444"/>
      <c r="G93" s="150"/>
      <c r="H93" s="150"/>
      <c r="I93" s="150"/>
      <c r="J93" s="150"/>
      <c r="K93" s="150"/>
      <c r="L93" s="149" t="e">
        <f>'[3]BP MARS   '!F106</f>
        <v>#DIV/0!</v>
      </c>
      <c r="M93" s="136" t="e">
        <f>'[3]BP AVRIL    '!F106</f>
        <v>#DIV/0!</v>
      </c>
      <c r="N93" s="136" t="e">
        <f>'[3]BP MAI     '!F106</f>
        <v>#DIV/0!</v>
      </c>
      <c r="O93" s="124" t="e">
        <f>+'[3]BP  JUIN '!F106</f>
        <v>#DIV/0!</v>
      </c>
      <c r="P93" s="124" t="e">
        <f>'[3]BP JUILLET '!F106</f>
        <v>#DIV/0!</v>
      </c>
      <c r="Q93" s="124" t="e">
        <f>'[3]BP AOUT '!F106</f>
        <v>#DIV/0!</v>
      </c>
      <c r="R93" s="124" t="e">
        <f>'[3]BP SEPTEMBRE '!F106</f>
        <v>#DIV/0!</v>
      </c>
      <c r="S93" s="124" t="e">
        <f>'[3]BP OCTOBRE '!F106</f>
        <v>#DIV/0!</v>
      </c>
      <c r="T93" s="124" t="e">
        <f>'[3]BP NOVEMBRE '!F106</f>
        <v>#DIV/0!</v>
      </c>
      <c r="U93" s="124" t="e">
        <f>'[3]BP DECEMBRE '!F106</f>
        <v>#DIV/0!</v>
      </c>
    </row>
    <row r="94" spans="1:21" ht="24" customHeight="1" x14ac:dyDescent="0.25">
      <c r="A94" s="609" t="s">
        <v>166</v>
      </c>
      <c r="B94" s="609"/>
      <c r="C94" s="609"/>
      <c r="D94" s="609"/>
      <c r="E94" s="157">
        <f>'BP FORMAT JUILLET 2023'!F68</f>
        <v>0</v>
      </c>
      <c r="F94" s="444"/>
      <c r="G94" s="150"/>
      <c r="H94" s="150"/>
      <c r="I94" s="150"/>
      <c r="J94" s="150"/>
      <c r="K94" s="150"/>
      <c r="L94" s="149" t="e">
        <f>'[3]BP MARS   '!F107</f>
        <v>#DIV/0!</v>
      </c>
      <c r="M94" s="136" t="e">
        <f>'[3]BP AVRIL    '!F107</f>
        <v>#DIV/0!</v>
      </c>
      <c r="N94" s="136" t="e">
        <f>'[3]BP MAI     '!F107</f>
        <v>#DIV/0!</v>
      </c>
      <c r="O94" s="124" t="e">
        <f>+'[3]BP  JUIN '!F107</f>
        <v>#DIV/0!</v>
      </c>
      <c r="P94" s="124" t="e">
        <f>'[3]BP JUILLET '!F107</f>
        <v>#DIV/0!</v>
      </c>
      <c r="Q94" s="124" t="e">
        <f>'[3]BP AOUT '!F107</f>
        <v>#DIV/0!</v>
      </c>
      <c r="R94" s="124" t="e">
        <f>'[3]BP SEPTEMBRE '!F107</f>
        <v>#DIV/0!</v>
      </c>
      <c r="S94" s="124" t="e">
        <f>'[3]BP OCTOBRE '!F107</f>
        <v>#DIV/0!</v>
      </c>
      <c r="T94" s="124" t="e">
        <f>'[3]BP NOVEMBRE '!F107</f>
        <v>#DIV/0!</v>
      </c>
      <c r="U94" s="124" t="e">
        <f>'[3]BP DECEMBRE '!F107</f>
        <v>#DIV/0!</v>
      </c>
    </row>
    <row r="95" spans="1:21" ht="24" customHeight="1" x14ac:dyDescent="0.25">
      <c r="A95" s="609" t="s">
        <v>167</v>
      </c>
      <c r="B95" s="609"/>
      <c r="C95" s="609"/>
      <c r="D95" s="609"/>
      <c r="E95" s="157">
        <f>'BP FORMAT JUILLET 2023'!F69</f>
        <v>0</v>
      </c>
      <c r="F95" s="444"/>
      <c r="G95" s="150"/>
      <c r="H95" s="150"/>
      <c r="I95" s="150"/>
      <c r="J95" s="150"/>
      <c r="K95" s="150"/>
      <c r="L95" s="149">
        <f>'[3]BP MARS   '!F108</f>
        <v>0</v>
      </c>
      <c r="M95" s="136">
        <f>'[3]BP AVRIL    '!F108</f>
        <v>0</v>
      </c>
      <c r="N95" s="136" t="e">
        <f>'[3]BP MAI     '!F108</f>
        <v>#DIV/0!</v>
      </c>
      <c r="O95" s="124" t="e">
        <f>+'[3]BP  JUIN '!F108</f>
        <v>#DIV/0!</v>
      </c>
      <c r="P95" s="124" t="e">
        <f>'[3]BP JUILLET '!F108</f>
        <v>#DIV/0!</v>
      </c>
      <c r="Q95" s="124" t="e">
        <f>'[3]BP AOUT '!F108</f>
        <v>#DIV/0!</v>
      </c>
      <c r="R95" s="124" t="e">
        <f>'[3]BP SEPTEMBRE '!F108</f>
        <v>#DIV/0!</v>
      </c>
      <c r="S95" s="124" t="e">
        <f>'[3]BP OCTOBRE '!F108</f>
        <v>#DIV/0!</v>
      </c>
      <c r="T95" s="124" t="e">
        <f>'[3]BP NOVEMBRE '!F108</f>
        <v>#DIV/0!</v>
      </c>
      <c r="U95" s="124" t="e">
        <f>'[3]BP DECEMBRE '!F108</f>
        <v>#DIV/0!</v>
      </c>
    </row>
    <row r="96" spans="1:21" ht="24" customHeight="1" x14ac:dyDescent="0.25">
      <c r="A96" s="609" t="s">
        <v>168</v>
      </c>
      <c r="B96" s="609"/>
      <c r="C96" s="609"/>
      <c r="D96" s="609"/>
      <c r="E96" s="157">
        <f>'BP FORMAT JUILLET 2023'!F70</f>
        <v>0</v>
      </c>
      <c r="F96" s="444"/>
      <c r="G96" s="150"/>
      <c r="H96" s="150"/>
      <c r="I96" s="150"/>
      <c r="J96" s="150"/>
      <c r="K96" s="150"/>
      <c r="L96" s="149" t="e">
        <f>'[3]BP MARS   '!F109</f>
        <v>#DIV/0!</v>
      </c>
      <c r="M96" s="136" t="e">
        <f>'[3]BP AVRIL    '!F109</f>
        <v>#DIV/0!</v>
      </c>
      <c r="N96" s="136" t="e">
        <f>'[3]BP MAI     '!F109</f>
        <v>#DIV/0!</v>
      </c>
      <c r="O96" s="124" t="e">
        <f>+'[3]BP  JUIN '!F109</f>
        <v>#DIV/0!</v>
      </c>
      <c r="P96" s="124" t="e">
        <f>'[3]BP JUILLET '!F109</f>
        <v>#DIV/0!</v>
      </c>
      <c r="Q96" s="124" t="e">
        <f>'[3]BP AOUT '!F109</f>
        <v>#DIV/0!</v>
      </c>
      <c r="R96" s="124" t="e">
        <f>'[3]BP SEPTEMBRE '!F109</f>
        <v>#DIV/0!</v>
      </c>
      <c r="S96" s="124" t="e">
        <f>'[3]BP OCTOBRE '!F109</f>
        <v>#DIV/0!</v>
      </c>
      <c r="T96" s="124" t="e">
        <f>'[3]BP NOVEMBRE '!F109</f>
        <v>#DIV/0!</v>
      </c>
      <c r="U96" s="124" t="e">
        <f>'[3]BP DECEMBRE '!F109</f>
        <v>#DIV/0!</v>
      </c>
    </row>
    <row r="97" spans="1:21" ht="24" customHeight="1" x14ac:dyDescent="0.25">
      <c r="A97" s="609" t="s">
        <v>169</v>
      </c>
      <c r="B97" s="609"/>
      <c r="C97" s="609"/>
      <c r="D97" s="609"/>
      <c r="E97" s="157">
        <f>'BP FORMAT JUILLET 2023'!F73+'BP FORMAT JUILLET 2023'!F76+'BP FORMAT JUILLET 2023'!F78+'BP FORMAT JUILLET 2023'!F75+'BP FORMAT JUILLET 2023'!F44</f>
        <v>472.97999999999996</v>
      </c>
      <c r="F97" s="444"/>
      <c r="G97" s="150"/>
      <c r="H97" s="150"/>
      <c r="I97" s="150"/>
      <c r="J97" s="150"/>
      <c r="K97" s="150"/>
      <c r="L97" s="149" t="e">
        <f>'[3]BP MARS   '!F113</f>
        <v>#DIV/0!</v>
      </c>
      <c r="M97" s="136" t="e">
        <f>'[3]BP AVRIL    '!F113</f>
        <v>#DIV/0!</v>
      </c>
      <c r="N97" s="136" t="e">
        <f>'[3]BP MAI     '!F113</f>
        <v>#DIV/0!</v>
      </c>
      <c r="O97" s="124" t="e">
        <f>+'[3]BP  JUIN '!F113</f>
        <v>#DIV/0!</v>
      </c>
      <c r="P97" s="124" t="e">
        <f>'[3]BP JUILLET '!F113</f>
        <v>#DIV/0!</v>
      </c>
      <c r="Q97" s="124" t="e">
        <f>'[3]BP AOUT '!F113</f>
        <v>#DIV/0!</v>
      </c>
      <c r="R97" s="124" t="e">
        <f>'[3]BP SEPTEMBRE '!F113</f>
        <v>#DIV/0!</v>
      </c>
      <c r="S97" s="124" t="e">
        <f>'[3]BP OCTOBRE '!F113</f>
        <v>#DIV/0!</v>
      </c>
      <c r="T97" s="124" t="e">
        <f>'[3]BP NOVEMBRE '!F113</f>
        <v>#DIV/0!</v>
      </c>
      <c r="U97" s="124" t="e">
        <f>'[3]BP DECEMBRE '!F113</f>
        <v>#DIV/0!</v>
      </c>
    </row>
    <row r="98" spans="1:21" ht="24" customHeight="1" x14ac:dyDescent="0.25">
      <c r="A98" s="609" t="s">
        <v>170</v>
      </c>
      <c r="B98" s="609"/>
      <c r="C98" s="609"/>
      <c r="D98" s="609"/>
      <c r="E98" s="157">
        <f>'BP FORMAT JUILLET 2023'!G40+'BP FORMAT JUILLET 2023'!G43</f>
        <v>40.68</v>
      </c>
      <c r="F98" s="444">
        <v>98</v>
      </c>
      <c r="G98" s="150"/>
      <c r="H98" s="150"/>
      <c r="I98" s="150"/>
      <c r="J98" s="150"/>
      <c r="K98" s="150"/>
      <c r="L98" s="149" t="e">
        <f>'[3]BP MARS   '!G79+'[3]BP MARS   '!G80+'[3]BP MARS   '!G82+'[3]BP MARS   '!G83</f>
        <v>#DIV/0!</v>
      </c>
      <c r="M98" s="136" t="e">
        <f>'[3]BP AVRIL    '!G79+'[3]BP AVRIL    '!G80+'[3]BP AVRIL    '!G82+'[3]BP AVRIL    '!G83</f>
        <v>#DIV/0!</v>
      </c>
      <c r="N98" s="136" t="e">
        <f>'[3]BP MAI     '!G79+'[3]BP MAI     '!G80+'[3]BP MAI     '!G82+'[3]BP MAI     '!G83</f>
        <v>#DIV/0!</v>
      </c>
      <c r="O98" s="124" t="e">
        <f>+'[3]BP  JUIN '!G79+'[3]BP  JUIN '!G80+'[3]BP  JUIN '!G82+'[3]BP  JUIN '!G83</f>
        <v>#DIV/0!</v>
      </c>
      <c r="P98" s="124" t="e">
        <f>'[3]BP JUILLET '!G79+'[3]BP JUILLET '!G80+'[3]BP JUILLET '!G82+'[3]BP JUILLET '!G83</f>
        <v>#DIV/0!</v>
      </c>
      <c r="Q98" s="124" t="e">
        <f>'[3]BP AOUT '!G79+'[3]BP AOUT '!G80+'[3]BP AOUT '!G82+'[3]BP AOUT '!G83</f>
        <v>#DIV/0!</v>
      </c>
      <c r="R98" s="124" t="e">
        <f>'[3]BP SEPTEMBRE '!G79+'[3]BP SEPTEMBRE '!G80+'[3]BP SEPTEMBRE '!G82+'[3]BP SEPTEMBRE '!G83</f>
        <v>#DIV/0!</v>
      </c>
      <c r="S98" s="124" t="e">
        <f>'[3]BP OCTOBRE '!G79+'[3]BP OCTOBRE '!G80+'[3]BP OCTOBRE '!G82+'[3]BP OCTOBRE '!G83</f>
        <v>#DIV/0!</v>
      </c>
      <c r="T98" s="124" t="e">
        <f>'[3]BP NOVEMBRE '!G79+'[3]BP NOVEMBRE '!G80+'[3]BP NOVEMBRE '!G82+'[3]BP NOVEMBRE '!G83</f>
        <v>#DIV/0!</v>
      </c>
      <c r="U98" s="124" t="e">
        <f>'[3]BP DECEMBRE '!G79+'[3]BP DECEMBRE '!G80+'[3]BP DECEMBRE '!G82+'[3]BP DECEMBRE '!G83</f>
        <v>#DIV/0!</v>
      </c>
    </row>
    <row r="99" spans="1:21" ht="24" customHeight="1" x14ac:dyDescent="0.25">
      <c r="A99" s="609" t="s">
        <v>392</v>
      </c>
      <c r="B99" s="609"/>
      <c r="C99" s="609"/>
      <c r="D99" s="609"/>
      <c r="E99" s="446">
        <f>'BP FORMAT JUILLET 2023'!G76+'BP FORMAT JUILLET 2023'!G78+'BP FORMAT JUILLET 2023'!G44+'BP FORMAT JUILLET 2023'!G75</f>
        <v>40.68</v>
      </c>
      <c r="F99" s="444">
        <v>99</v>
      </c>
      <c r="G99" s="54"/>
      <c r="H99" s="54"/>
      <c r="I99" s="54"/>
      <c r="J99" s="54"/>
      <c r="K99" s="54"/>
      <c r="L99" s="54"/>
    </row>
    <row r="100" spans="1:21" ht="24" customHeight="1" x14ac:dyDescent="0.25">
      <c r="A100" s="889" t="s">
        <v>227</v>
      </c>
      <c r="B100" s="889"/>
      <c r="C100" s="889"/>
      <c r="D100" s="889"/>
      <c r="E100" s="447">
        <f>E85+E86+E90+E93+E94+E96-E97+E98+E104</f>
        <v>1662.0892700909092</v>
      </c>
      <c r="F100" s="54"/>
      <c r="G100" s="54"/>
      <c r="H100" s="54"/>
      <c r="I100" s="54"/>
      <c r="J100" s="54"/>
      <c r="K100" s="54"/>
      <c r="L100" s="54"/>
    </row>
    <row r="101" spans="1:21" ht="20.25" customHeight="1" x14ac:dyDescent="0.25">
      <c r="C101" s="54"/>
      <c r="E101" s="54"/>
      <c r="F101" s="54"/>
      <c r="G101" s="54"/>
      <c r="H101" s="54"/>
      <c r="I101" s="54"/>
      <c r="J101" s="54"/>
      <c r="K101" s="54"/>
      <c r="L101" s="54"/>
    </row>
    <row r="102" spans="1:21" ht="20.25" customHeight="1" x14ac:dyDescent="0.25">
      <c r="C102" s="54"/>
      <c r="E102" s="54"/>
      <c r="F102" s="54"/>
      <c r="G102" s="54"/>
      <c r="H102" s="54"/>
      <c r="I102" s="54"/>
      <c r="J102" s="54"/>
      <c r="K102" s="54"/>
      <c r="L102" s="54"/>
    </row>
    <row r="103" spans="1:21" ht="20.25" customHeight="1" x14ac:dyDescent="0.25">
      <c r="A103" s="609" t="s">
        <v>223</v>
      </c>
      <c r="B103" s="609"/>
      <c r="C103" s="609"/>
      <c r="D103" s="609"/>
      <c r="E103" s="158">
        <f>+E111</f>
        <v>0</v>
      </c>
      <c r="F103" s="158">
        <f>F111</f>
        <v>0</v>
      </c>
      <c r="G103" s="158"/>
      <c r="H103" s="158"/>
      <c r="I103" s="158"/>
      <c r="J103" s="158"/>
      <c r="K103" s="158">
        <f>+K111</f>
        <v>0</v>
      </c>
      <c r="L103" s="1" t="e">
        <f t="shared" ref="L103:U103" si="28">+L111</f>
        <v>#DIV/0!</v>
      </c>
      <c r="M103" s="137" t="e">
        <f t="shared" si="28"/>
        <v>#DIV/0!</v>
      </c>
      <c r="N103" s="137" t="e">
        <f t="shared" si="28"/>
        <v>#DIV/0!</v>
      </c>
      <c r="O103" s="137" t="e">
        <f t="shared" si="28"/>
        <v>#DIV/0!</v>
      </c>
      <c r="P103" s="137" t="e">
        <f t="shared" si="28"/>
        <v>#DIV/0!</v>
      </c>
      <c r="Q103" s="137" t="e">
        <f t="shared" si="28"/>
        <v>#DIV/0!</v>
      </c>
      <c r="R103" s="137" t="e">
        <f t="shared" si="28"/>
        <v>#DIV/0!</v>
      </c>
      <c r="S103" s="137" t="e">
        <f t="shared" si="28"/>
        <v>#DIV/0!</v>
      </c>
      <c r="T103" s="137" t="e">
        <f t="shared" si="28"/>
        <v>#DIV/0!</v>
      </c>
      <c r="U103" s="137" t="e">
        <f t="shared" si="28"/>
        <v>#DIV/0!</v>
      </c>
    </row>
    <row r="104" spans="1:21" ht="20.25" customHeight="1" x14ac:dyDescent="0.25">
      <c r="A104" s="610" t="s">
        <v>194</v>
      </c>
      <c r="B104" s="611"/>
      <c r="C104" s="611"/>
      <c r="D104" s="612"/>
      <c r="E104" s="158"/>
      <c r="F104" s="158"/>
      <c r="G104" s="158"/>
      <c r="H104" s="158"/>
      <c r="I104" s="158"/>
      <c r="J104" s="158"/>
      <c r="K104" s="158"/>
      <c r="L104" s="1"/>
      <c r="M104" s="137"/>
      <c r="N104" s="137"/>
      <c r="O104" s="137"/>
      <c r="P104" s="137"/>
      <c r="Q104" s="137"/>
      <c r="R104" s="137"/>
      <c r="S104" s="137"/>
      <c r="T104" s="137"/>
      <c r="U104" s="137"/>
    </row>
    <row r="105" spans="1:21" ht="20.25" customHeight="1" x14ac:dyDescent="0.25">
      <c r="A105" s="609" t="s">
        <v>62</v>
      </c>
      <c r="B105" s="609"/>
      <c r="C105" s="609"/>
      <c r="D105" s="609"/>
      <c r="E105" s="158"/>
      <c r="F105" s="158"/>
      <c r="G105" s="158"/>
      <c r="H105" s="158"/>
      <c r="I105" s="158"/>
      <c r="J105" s="158"/>
      <c r="K105" s="158">
        <f t="shared" ref="K105:U105" si="29">K85-K97+K98+K93+K96+K94+K88+K103</f>
        <v>0</v>
      </c>
      <c r="L105" s="138" t="e">
        <f t="shared" si="29"/>
        <v>#DIV/0!</v>
      </c>
      <c r="M105" s="138" t="e">
        <f t="shared" si="29"/>
        <v>#DIV/0!</v>
      </c>
      <c r="N105" s="138" t="e">
        <f t="shared" si="29"/>
        <v>#DIV/0!</v>
      </c>
      <c r="O105" s="138" t="e">
        <f t="shared" si="29"/>
        <v>#DIV/0!</v>
      </c>
      <c r="P105" s="138" t="e">
        <f t="shared" si="29"/>
        <v>#DIV/0!</v>
      </c>
      <c r="Q105" s="138" t="e">
        <f t="shared" si="29"/>
        <v>#DIV/0!</v>
      </c>
      <c r="R105" s="138" t="e">
        <f t="shared" si="29"/>
        <v>#DIV/0!</v>
      </c>
      <c r="S105" s="138" t="e">
        <f t="shared" si="29"/>
        <v>#DIV/0!</v>
      </c>
      <c r="T105" s="138" t="e">
        <f t="shared" si="29"/>
        <v>#DIV/0!</v>
      </c>
      <c r="U105" s="138" t="e">
        <f t="shared" si="29"/>
        <v>#DIV/0!</v>
      </c>
    </row>
    <row r="107" spans="1:21" ht="30.75" customHeight="1" x14ac:dyDescent="0.25">
      <c r="E107" s="156" t="s">
        <v>199</v>
      </c>
      <c r="F107" s="156"/>
      <c r="G107" s="154"/>
      <c r="H107" s="154"/>
      <c r="I107" s="154"/>
      <c r="J107" s="154"/>
      <c r="K107" s="154"/>
      <c r="L107" s="151" t="s">
        <v>154</v>
      </c>
      <c r="M107" s="139" t="s">
        <v>155</v>
      </c>
      <c r="N107" s="139" t="s">
        <v>144</v>
      </c>
      <c r="O107" s="139" t="s">
        <v>145</v>
      </c>
      <c r="P107" s="139" t="s">
        <v>157</v>
      </c>
      <c r="Q107" s="139" t="s">
        <v>158</v>
      </c>
      <c r="R107" s="139" t="s">
        <v>159</v>
      </c>
      <c r="S107" s="139" t="s">
        <v>160</v>
      </c>
      <c r="T107" s="139" t="s">
        <v>161</v>
      </c>
      <c r="U107" s="139" t="s">
        <v>162</v>
      </c>
    </row>
    <row r="108" spans="1:21" ht="20.25" customHeight="1" x14ac:dyDescent="0.25">
      <c r="A108" s="609" t="s">
        <v>171</v>
      </c>
      <c r="B108" s="609"/>
      <c r="C108" s="609"/>
      <c r="D108" s="609"/>
      <c r="E108" s="140">
        <f>C57</f>
        <v>0</v>
      </c>
      <c r="F108" s="140"/>
      <c r="G108" s="155"/>
      <c r="H108" s="155"/>
      <c r="I108" s="155"/>
      <c r="J108" s="155"/>
      <c r="K108" s="106"/>
      <c r="L108" s="152" t="e">
        <f>C60</f>
        <v>#DIV/0!</v>
      </c>
      <c r="M108" s="140" t="e">
        <f>C61</f>
        <v>#DIV/0!</v>
      </c>
      <c r="N108" s="140" t="e">
        <f>C62</f>
        <v>#DIV/0!</v>
      </c>
      <c r="O108" s="140" t="e">
        <f>C63</f>
        <v>#DIV/0!</v>
      </c>
      <c r="P108" s="140" t="e">
        <f>C64</f>
        <v>#DIV/0!</v>
      </c>
      <c r="Q108" s="142" t="e">
        <f>C65</f>
        <v>#DIV/0!</v>
      </c>
      <c r="R108" s="142" t="e">
        <f>C66</f>
        <v>#DIV/0!</v>
      </c>
      <c r="S108" s="142" t="e">
        <f>+C67</f>
        <v>#DIV/0!</v>
      </c>
      <c r="T108" s="142" t="e">
        <f>C68</f>
        <v>#DIV/0!</v>
      </c>
      <c r="U108" s="142" t="e">
        <f>C69</f>
        <v>#DIV/0!</v>
      </c>
    </row>
    <row r="109" spans="1:21" ht="20.25" customHeight="1" x14ac:dyDescent="0.25">
      <c r="A109" s="609" t="s">
        <v>172</v>
      </c>
      <c r="B109" s="609"/>
      <c r="C109" s="609"/>
      <c r="D109" s="609"/>
      <c r="E109" s="140">
        <f>E108</f>
        <v>0</v>
      </c>
      <c r="F109" s="140"/>
      <c r="G109" s="155"/>
      <c r="H109" s="155"/>
      <c r="I109" s="155"/>
      <c r="J109" s="155"/>
      <c r="K109" s="155"/>
      <c r="L109" s="152" t="e">
        <f t="shared" ref="L109:U109" si="30">L108-K108</f>
        <v>#DIV/0!</v>
      </c>
      <c r="M109" s="140" t="e">
        <f t="shared" si="30"/>
        <v>#DIV/0!</v>
      </c>
      <c r="N109" s="140" t="e">
        <f t="shared" si="30"/>
        <v>#DIV/0!</v>
      </c>
      <c r="O109" s="140" t="e">
        <f t="shared" si="30"/>
        <v>#DIV/0!</v>
      </c>
      <c r="P109" s="142" t="e">
        <f t="shared" si="30"/>
        <v>#DIV/0!</v>
      </c>
      <c r="Q109" s="142" t="e">
        <f t="shared" si="30"/>
        <v>#DIV/0!</v>
      </c>
      <c r="R109" s="142" t="e">
        <f t="shared" si="30"/>
        <v>#DIV/0!</v>
      </c>
      <c r="S109" s="142" t="e">
        <f t="shared" si="30"/>
        <v>#DIV/0!</v>
      </c>
      <c r="T109" s="142" t="e">
        <f t="shared" si="30"/>
        <v>#DIV/0!</v>
      </c>
      <c r="U109" s="142" t="e">
        <f t="shared" si="30"/>
        <v>#DIV/0!</v>
      </c>
    </row>
    <row r="110" spans="1:21" ht="20.25" customHeight="1" x14ac:dyDescent="0.25">
      <c r="A110" s="609" t="s">
        <v>224</v>
      </c>
      <c r="B110" s="609"/>
      <c r="C110" s="609"/>
      <c r="D110" s="609"/>
      <c r="E110" s="141">
        <f>IF(E108&lt;8037,0,E108-8037)</f>
        <v>0</v>
      </c>
      <c r="F110" s="141"/>
      <c r="G110" s="106"/>
      <c r="H110" s="106"/>
      <c r="I110" s="106"/>
      <c r="J110" s="106"/>
      <c r="K110" s="106"/>
      <c r="L110" s="153" t="e">
        <f t="shared" ref="L110:U110" si="31">IF(L108&lt;5358,0,L108-5358)</f>
        <v>#DIV/0!</v>
      </c>
      <c r="M110" s="141" t="e">
        <f t="shared" si="31"/>
        <v>#DIV/0!</v>
      </c>
      <c r="N110" s="141" t="e">
        <f t="shared" si="31"/>
        <v>#DIV/0!</v>
      </c>
      <c r="O110" s="141" t="e">
        <f t="shared" si="31"/>
        <v>#DIV/0!</v>
      </c>
      <c r="P110" s="141" t="e">
        <f t="shared" si="31"/>
        <v>#DIV/0!</v>
      </c>
      <c r="Q110" s="141" t="e">
        <f t="shared" si="31"/>
        <v>#DIV/0!</v>
      </c>
      <c r="R110" s="141" t="e">
        <f t="shared" si="31"/>
        <v>#DIV/0!</v>
      </c>
      <c r="S110" s="141" t="e">
        <f t="shared" si="31"/>
        <v>#DIV/0!</v>
      </c>
      <c r="T110" s="141" t="e">
        <f t="shared" si="31"/>
        <v>#DIV/0!</v>
      </c>
      <c r="U110" s="141" t="e">
        <f t="shared" si="31"/>
        <v>#DIV/0!</v>
      </c>
    </row>
    <row r="111" spans="1:21" ht="20.25" customHeight="1" x14ac:dyDescent="0.25">
      <c r="A111" s="609" t="s">
        <v>225</v>
      </c>
      <c r="B111" s="609"/>
      <c r="C111" s="609"/>
      <c r="D111" s="609"/>
      <c r="E111" s="141">
        <f>E110</f>
        <v>0</v>
      </c>
      <c r="F111" s="141"/>
      <c r="G111" s="106"/>
      <c r="H111" s="106"/>
      <c r="I111" s="106"/>
      <c r="J111" s="106"/>
      <c r="K111" s="106"/>
      <c r="L111" s="153" t="e">
        <f t="shared" ref="L111:U111" si="32">L110-K110</f>
        <v>#DIV/0!</v>
      </c>
      <c r="M111" s="141" t="e">
        <f t="shared" si="32"/>
        <v>#DIV/0!</v>
      </c>
      <c r="N111" s="141" t="e">
        <f t="shared" si="32"/>
        <v>#DIV/0!</v>
      </c>
      <c r="O111" s="141" t="e">
        <f t="shared" si="32"/>
        <v>#DIV/0!</v>
      </c>
      <c r="P111" s="141" t="e">
        <f t="shared" si="32"/>
        <v>#DIV/0!</v>
      </c>
      <c r="Q111" s="141" t="e">
        <f t="shared" si="32"/>
        <v>#DIV/0!</v>
      </c>
      <c r="R111" s="141" t="e">
        <f t="shared" si="32"/>
        <v>#DIV/0!</v>
      </c>
      <c r="S111" s="141" t="e">
        <f t="shared" si="32"/>
        <v>#DIV/0!</v>
      </c>
      <c r="T111" s="141" t="e">
        <f t="shared" si="32"/>
        <v>#DIV/0!</v>
      </c>
      <c r="U111" s="141" t="e">
        <f t="shared" si="32"/>
        <v>#DIV/0!</v>
      </c>
    </row>
    <row r="113" spans="1:21" ht="0.75" hidden="1" customHeight="1" x14ac:dyDescent="0.25">
      <c r="E113" s="143" t="s">
        <v>142</v>
      </c>
      <c r="F113" s="143"/>
      <c r="G113" s="143"/>
      <c r="H113" s="143"/>
      <c r="I113" s="143"/>
      <c r="J113" s="143"/>
      <c r="K113" s="143" t="s">
        <v>143</v>
      </c>
      <c r="L113" s="143" t="s">
        <v>154</v>
      </c>
      <c r="M113" s="143" t="s">
        <v>155</v>
      </c>
      <c r="N113" s="143" t="s">
        <v>144</v>
      </c>
      <c r="O113" s="143" t="s">
        <v>145</v>
      </c>
      <c r="P113" s="143" t="s">
        <v>157</v>
      </c>
      <c r="Q113" s="143" t="s">
        <v>158</v>
      </c>
      <c r="R113" s="143" t="s">
        <v>159</v>
      </c>
      <c r="S113" s="143" t="s">
        <v>160</v>
      </c>
      <c r="T113" s="143" t="s">
        <v>161</v>
      </c>
      <c r="U113" s="143" t="s">
        <v>162</v>
      </c>
    </row>
    <row r="114" spans="1:21" ht="0.75" hidden="1" customHeight="1" x14ac:dyDescent="0.25">
      <c r="A114" s="873" t="s">
        <v>173</v>
      </c>
      <c r="B114" s="873"/>
      <c r="C114" s="873"/>
      <c r="D114" s="873"/>
      <c r="E114" s="138">
        <f t="shared" ref="E114:U114" si="33">E85+E88</f>
        <v>2034.069270090909</v>
      </c>
      <c r="F114" s="138"/>
      <c r="G114" s="138"/>
      <c r="H114" s="138"/>
      <c r="I114" s="138"/>
      <c r="J114" s="138"/>
      <c r="K114" s="138">
        <f t="shared" si="33"/>
        <v>0</v>
      </c>
      <c r="L114" s="138" t="e">
        <f t="shared" si="33"/>
        <v>#DIV/0!</v>
      </c>
      <c r="M114" s="138" t="e">
        <f t="shared" si="33"/>
        <v>#DIV/0!</v>
      </c>
      <c r="N114" s="138" t="e">
        <f t="shared" si="33"/>
        <v>#DIV/0!</v>
      </c>
      <c r="O114" s="138" t="e">
        <f t="shared" si="33"/>
        <v>#DIV/0!</v>
      </c>
      <c r="P114" s="138" t="e">
        <f t="shared" si="33"/>
        <v>#DIV/0!</v>
      </c>
      <c r="Q114" s="138" t="e">
        <f t="shared" si="33"/>
        <v>#DIV/0!</v>
      </c>
      <c r="R114" s="138" t="e">
        <f t="shared" si="33"/>
        <v>#DIV/0!</v>
      </c>
      <c r="S114" s="138" t="e">
        <f t="shared" si="33"/>
        <v>#DIV/0!</v>
      </c>
      <c r="T114" s="138" t="e">
        <f t="shared" si="33"/>
        <v>#DIV/0!</v>
      </c>
      <c r="U114" s="138" t="e">
        <f t="shared" si="33"/>
        <v>#DIV/0!</v>
      </c>
    </row>
    <row r="115" spans="1:21" ht="0.75" hidden="1" customHeight="1" x14ac:dyDescent="0.25">
      <c r="A115" s="873" t="s">
        <v>174</v>
      </c>
      <c r="B115" s="873"/>
      <c r="C115" s="873"/>
      <c r="D115" s="873"/>
      <c r="E115" s="138">
        <f>E91</f>
        <v>0</v>
      </c>
      <c r="F115" s="138"/>
      <c r="G115" s="138"/>
      <c r="H115" s="138"/>
      <c r="I115" s="138"/>
      <c r="J115" s="138"/>
      <c r="K115" s="138">
        <f>K91</f>
        <v>0</v>
      </c>
      <c r="L115" s="138" t="e">
        <f>L91</f>
        <v>#DIV/0!</v>
      </c>
      <c r="M115" s="138" t="e">
        <f>M91</f>
        <v>#DIV/0!</v>
      </c>
      <c r="N115" s="138" t="e">
        <f>N91</f>
        <v>#DIV/0!</v>
      </c>
      <c r="O115" s="124" t="e">
        <f t="shared" ref="O115:U115" si="34">+O91</f>
        <v>#DIV/0!</v>
      </c>
      <c r="P115" s="124" t="e">
        <f t="shared" si="34"/>
        <v>#DIV/0!</v>
      </c>
      <c r="Q115" s="124" t="e">
        <f t="shared" si="34"/>
        <v>#DIV/0!</v>
      </c>
      <c r="R115" s="124" t="e">
        <f t="shared" si="34"/>
        <v>#DIV/0!</v>
      </c>
      <c r="S115" s="124" t="e">
        <f t="shared" si="34"/>
        <v>#DIV/0!</v>
      </c>
      <c r="T115" s="124" t="e">
        <f t="shared" si="34"/>
        <v>#DIV/0!</v>
      </c>
      <c r="U115" s="124" t="e">
        <f t="shared" si="34"/>
        <v>#DIV/0!</v>
      </c>
    </row>
    <row r="116" spans="1:21" ht="0.75" hidden="1" customHeight="1" x14ac:dyDescent="0.25">
      <c r="A116" s="873" t="s">
        <v>175</v>
      </c>
      <c r="B116" s="873"/>
      <c r="C116" s="873"/>
      <c r="D116" s="873"/>
      <c r="E116" s="138">
        <f>E114+E115</f>
        <v>2034.069270090909</v>
      </c>
      <c r="F116" s="138"/>
      <c r="G116" s="138"/>
      <c r="H116" s="138"/>
      <c r="I116" s="138"/>
      <c r="J116" s="138"/>
      <c r="K116" s="138">
        <f>K115+K114+E116</f>
        <v>2034.069270090909</v>
      </c>
      <c r="L116" s="138" t="e">
        <f t="shared" ref="L116:U116" si="35">L115+L114+K116</f>
        <v>#DIV/0!</v>
      </c>
      <c r="M116" s="138" t="e">
        <f t="shared" si="35"/>
        <v>#DIV/0!</v>
      </c>
      <c r="N116" s="138" t="e">
        <f t="shared" si="35"/>
        <v>#DIV/0!</v>
      </c>
      <c r="O116" s="138" t="e">
        <f t="shared" si="35"/>
        <v>#DIV/0!</v>
      </c>
      <c r="P116" s="138" t="e">
        <f t="shared" si="35"/>
        <v>#DIV/0!</v>
      </c>
      <c r="Q116" s="138" t="e">
        <f t="shared" si="35"/>
        <v>#DIV/0!</v>
      </c>
      <c r="R116" s="138" t="e">
        <f t="shared" si="35"/>
        <v>#DIV/0!</v>
      </c>
      <c r="S116" s="138" t="e">
        <f t="shared" si="35"/>
        <v>#DIV/0!</v>
      </c>
      <c r="T116" s="138" t="e">
        <f t="shared" si="35"/>
        <v>#DIV/0!</v>
      </c>
      <c r="U116" s="138" t="e">
        <f t="shared" si="35"/>
        <v>#DIV/0!</v>
      </c>
    </row>
    <row r="117" spans="1:21" ht="0.75" hidden="1" customHeight="1" x14ac:dyDescent="0.25">
      <c r="A117" s="873" t="s">
        <v>176</v>
      </c>
      <c r="B117" s="873"/>
      <c r="C117" s="873"/>
      <c r="D117" s="873"/>
      <c r="E117" s="138">
        <f>D24</f>
        <v>3428</v>
      </c>
      <c r="F117" s="138"/>
      <c r="G117" s="138"/>
      <c r="H117" s="138"/>
      <c r="I117" s="138"/>
      <c r="J117" s="138"/>
      <c r="K117" s="138">
        <f>D25</f>
        <v>3428</v>
      </c>
      <c r="L117" s="138">
        <f>D26</f>
        <v>3428</v>
      </c>
      <c r="M117" s="138">
        <f>D27</f>
        <v>3428</v>
      </c>
      <c r="N117" s="138">
        <f>D28</f>
        <v>3428</v>
      </c>
      <c r="O117" s="100">
        <f>D29</f>
        <v>3428</v>
      </c>
      <c r="P117" s="100">
        <f>D30</f>
        <v>3428</v>
      </c>
      <c r="Q117" s="102"/>
      <c r="R117" s="102"/>
      <c r="S117" s="102"/>
      <c r="T117" s="102"/>
      <c r="U117" s="102"/>
    </row>
    <row r="118" spans="1:21" ht="0.75" hidden="1" customHeight="1" x14ac:dyDescent="0.25">
      <c r="A118" s="873" t="s">
        <v>177</v>
      </c>
      <c r="B118" s="873"/>
      <c r="C118" s="873"/>
      <c r="D118" s="873"/>
      <c r="E118" s="138">
        <f t="shared" ref="E118:U118" si="36">4*E117</f>
        <v>13712</v>
      </c>
      <c r="F118" s="138"/>
      <c r="G118" s="138"/>
      <c r="H118" s="138"/>
      <c r="I118" s="138"/>
      <c r="J118" s="138"/>
      <c r="K118" s="138">
        <f t="shared" si="36"/>
        <v>13712</v>
      </c>
      <c r="L118" s="138">
        <f t="shared" si="36"/>
        <v>13712</v>
      </c>
      <c r="M118" s="138">
        <f t="shared" si="36"/>
        <v>13712</v>
      </c>
      <c r="N118" s="138">
        <f t="shared" si="36"/>
        <v>13712</v>
      </c>
      <c r="O118" s="138">
        <f t="shared" si="36"/>
        <v>13712</v>
      </c>
      <c r="P118" s="138">
        <f t="shared" si="36"/>
        <v>13712</v>
      </c>
      <c r="Q118" s="138">
        <f t="shared" si="36"/>
        <v>0</v>
      </c>
      <c r="R118" s="138">
        <f t="shared" si="36"/>
        <v>0</v>
      </c>
      <c r="S118" s="138">
        <f t="shared" si="36"/>
        <v>0</v>
      </c>
      <c r="T118" s="138">
        <f t="shared" si="36"/>
        <v>0</v>
      </c>
      <c r="U118" s="138">
        <f t="shared" si="36"/>
        <v>0</v>
      </c>
    </row>
    <row r="119" spans="1:21" ht="0.75" hidden="1" customHeight="1" x14ac:dyDescent="0.25">
      <c r="A119" s="877" t="s">
        <v>178</v>
      </c>
      <c r="B119" s="878"/>
      <c r="C119" s="878"/>
      <c r="D119" s="879"/>
      <c r="E119" s="138">
        <f>'[3]BP  JANV. COMMENTE 1   '!G80+'[3]BP  JANV. COMMENTE 1   '!G81+'[3]BP  JANV. COMMENTE 1   '!G82+'[3]BP  JANV. COMMENTE 1   '!G83+'[3]BP  JANV. COMMENTE 1   '!G84+'[3]BP  JANV. COMMENTE 1   '!G85</f>
        <v>245.54</v>
      </c>
      <c r="F119" s="138"/>
      <c r="G119" s="138"/>
      <c r="H119" s="138"/>
      <c r="I119" s="138"/>
      <c r="J119" s="138"/>
      <c r="K119" s="138">
        <f>'[3]BP FEVRIER    '!G79+'[3]BP FEVRIER    '!G80+'[3]BP FEVRIER    '!G81+'[3]BP FEVRIER    '!G82+'[3]BP FEVRIER    '!G83+'[3]BP FEVRIER    '!G84+'[3]BP FEVRIER    '!G85</f>
        <v>0</v>
      </c>
      <c r="L119" s="138" t="e">
        <f>'[3]BP MARS   '!G79+'[3]BP MARS   '!G80+'[3]BP MARS   '!G81+'[3]BP MARS   '!G82+'[3]BP MARS   '!G83+'[3]BP MARS   '!G84+'[3]BP MARS   '!G85</f>
        <v>#DIV/0!</v>
      </c>
      <c r="M119" s="138" t="e">
        <f>'[3]BP AVRIL    '!G79+'[3]BP AVRIL    '!G80+'[3]BP AVRIL    '!G81+'[3]BP AVRIL    '!G82+'[3]BP AVRIL    '!G83+'[3]BP AVRIL    '!G84+'[3]BP AVRIL    '!G85</f>
        <v>#DIV/0!</v>
      </c>
      <c r="N119" s="138" t="e">
        <f>'[3]BP MAI     '!G79+'[3]BP MAI     '!G80+'[3]BP MAI     '!G81+'[3]BP MAI     '!G82+'[3]BP MAI     '!G83+'[3]BP MAI     '!G84+'[3]BP MAI     '!G87</f>
        <v>#DIV/0!</v>
      </c>
      <c r="O119" s="138" t="e">
        <f>'[3]BP  JUIN '!G79+'[3]BP  JUIN '!G80+'[3]BP  JUIN '!G81+'[3]BP  JUIN '!G82+'[3]BP  JUIN '!G83+'[3]BP  JUIN '!G84+'[3]BP  JUIN '!G87</f>
        <v>#DIV/0!</v>
      </c>
      <c r="P119" s="124" t="e">
        <f>+'[3]BP JUILLET '!G79+'[3]BP JUILLET '!G80+'[3]BP JUILLET '!G81+'[3]BP JUILLET '!G82+'[3]BP JUILLET '!G83+'[3]BP JUILLET '!G84+'[3]BP JUILLET '!G87</f>
        <v>#DIV/0!</v>
      </c>
      <c r="Q119" s="102"/>
      <c r="R119" s="102"/>
      <c r="S119" s="102"/>
      <c r="T119" s="102"/>
      <c r="U119" s="102"/>
    </row>
    <row r="120" spans="1:21" ht="0.75" hidden="1" customHeight="1" x14ac:dyDescent="0.25">
      <c r="A120" s="873" t="s">
        <v>179</v>
      </c>
      <c r="B120" s="873"/>
      <c r="C120" s="873"/>
      <c r="D120" s="873"/>
      <c r="E120" s="103">
        <f t="shared" ref="E120:U120" si="37">IF(E114&lt;=E118,E114*0.9825+E119,E118*0.9825+E114-E118+E119)</f>
        <v>2244.0130578643184</v>
      </c>
      <c r="F120" s="103"/>
      <c r="G120" s="103"/>
      <c r="H120" s="103"/>
      <c r="I120" s="103"/>
      <c r="J120" s="103"/>
      <c r="K120" s="103">
        <f t="shared" si="37"/>
        <v>0</v>
      </c>
      <c r="L120" s="103" t="e">
        <f t="shared" si="37"/>
        <v>#DIV/0!</v>
      </c>
      <c r="M120" s="103" t="e">
        <f t="shared" si="37"/>
        <v>#DIV/0!</v>
      </c>
      <c r="N120" s="103" t="e">
        <f t="shared" si="37"/>
        <v>#DIV/0!</v>
      </c>
      <c r="O120" s="103" t="e">
        <f t="shared" si="37"/>
        <v>#DIV/0!</v>
      </c>
      <c r="P120" s="103" t="e">
        <f t="shared" si="37"/>
        <v>#DIV/0!</v>
      </c>
      <c r="Q120" s="103" t="e">
        <f t="shared" si="37"/>
        <v>#DIV/0!</v>
      </c>
      <c r="R120" s="103" t="e">
        <f t="shared" si="37"/>
        <v>#DIV/0!</v>
      </c>
      <c r="S120" s="103" t="e">
        <f t="shared" si="37"/>
        <v>#DIV/0!</v>
      </c>
      <c r="T120" s="103" t="e">
        <f t="shared" si="37"/>
        <v>#DIV/0!</v>
      </c>
      <c r="U120" s="103" t="e">
        <f t="shared" si="37"/>
        <v>#DIV/0!</v>
      </c>
    </row>
    <row r="121" spans="1:21" ht="0.75" hidden="1" customHeight="1" x14ac:dyDescent="0.25">
      <c r="A121" s="873" t="s">
        <v>180</v>
      </c>
      <c r="B121" s="873"/>
      <c r="C121" s="873"/>
      <c r="D121" s="873"/>
      <c r="E121" s="4"/>
      <c r="F121" s="4"/>
      <c r="G121" s="4"/>
      <c r="H121" s="4"/>
      <c r="I121" s="4"/>
      <c r="J121" s="4"/>
      <c r="K121" s="4"/>
      <c r="L121" s="4"/>
      <c r="M121" s="4"/>
      <c r="N121" s="4"/>
      <c r="O121" s="4"/>
    </row>
    <row r="122" spans="1:21" ht="0.75" hidden="1" customHeight="1" x14ac:dyDescent="0.25"/>
    <row r="123" spans="1:21" ht="0.75" hidden="1" customHeight="1" x14ac:dyDescent="0.25"/>
    <row r="124" spans="1:21" ht="0.75" hidden="1" customHeight="1" x14ac:dyDescent="0.25">
      <c r="B124" s="4">
        <v>13000</v>
      </c>
      <c r="D124" s="59">
        <v>1000</v>
      </c>
    </row>
    <row r="125" spans="1:21" x14ac:dyDescent="0.25">
      <c r="B125" t="s">
        <v>394</v>
      </c>
      <c r="C125" s="2">
        <f>'BP FORMAT JUILLET 2023'!C33</f>
        <v>4005</v>
      </c>
    </row>
    <row r="126" spans="1:21" x14ac:dyDescent="0.25">
      <c r="I126" s="12"/>
    </row>
    <row r="127" spans="1:21" x14ac:dyDescent="0.25">
      <c r="A127" t="s">
        <v>183</v>
      </c>
    </row>
    <row r="129" spans="1:11" s="60" customFormat="1" x14ac:dyDescent="0.25">
      <c r="A129">
        <v>3</v>
      </c>
      <c r="B129" s="868" t="s">
        <v>186</v>
      </c>
      <c r="C129" s="870"/>
      <c r="D129" s="455">
        <f>4*C125</f>
        <v>16020</v>
      </c>
      <c r="F129" s="65"/>
      <c r="H129" s="451"/>
    </row>
    <row r="130" spans="1:11" s="60" customFormat="1" x14ac:dyDescent="0.25">
      <c r="A130">
        <v>4</v>
      </c>
      <c r="B130" s="825" t="s">
        <v>184</v>
      </c>
      <c r="C130" s="827"/>
      <c r="D130" s="455">
        <f>E85+E90</f>
        <v>2034.069270090909</v>
      </c>
      <c r="E130" s="448"/>
      <c r="F130" s="449"/>
      <c r="K130" s="166"/>
    </row>
    <row r="131" spans="1:11" s="60" customFormat="1" x14ac:dyDescent="0.25">
      <c r="A131">
        <v>5</v>
      </c>
      <c r="B131" s="825" t="s">
        <v>185</v>
      </c>
      <c r="C131" s="827"/>
      <c r="D131" s="455">
        <f>E57</f>
        <v>0</v>
      </c>
      <c r="E131" s="448"/>
      <c r="F131" s="449"/>
      <c r="K131" s="166"/>
    </row>
    <row r="132" spans="1:11" s="60" customFormat="1" x14ac:dyDescent="0.25">
      <c r="A132">
        <v>6</v>
      </c>
      <c r="B132" s="825" t="s">
        <v>397</v>
      </c>
      <c r="C132" s="827"/>
      <c r="D132" s="456">
        <f>G57</f>
        <v>0</v>
      </c>
      <c r="E132" s="448"/>
      <c r="F132" s="449"/>
      <c r="H132" s="452"/>
      <c r="K132" s="166"/>
    </row>
    <row r="133" spans="1:11" s="60" customFormat="1" x14ac:dyDescent="0.25">
      <c r="A133">
        <v>7</v>
      </c>
      <c r="B133" s="825" t="s">
        <v>182</v>
      </c>
      <c r="C133" s="827"/>
      <c r="D133" s="455">
        <f>D130+D131+D132</f>
        <v>2034.069270090909</v>
      </c>
      <c r="E133" s="450"/>
      <c r="F133" s="449"/>
      <c r="H133" s="452"/>
    </row>
    <row r="134" spans="1:11" s="60" customFormat="1" x14ac:dyDescent="0.25">
      <c r="A134">
        <v>8</v>
      </c>
      <c r="B134" s="825" t="s">
        <v>187</v>
      </c>
      <c r="C134" s="827"/>
      <c r="D134" s="455">
        <f>E98+E99</f>
        <v>81.36</v>
      </c>
      <c r="H134" s="167"/>
      <c r="I134" s="167"/>
    </row>
    <row r="135" spans="1:11" s="60" customFormat="1" x14ac:dyDescent="0.25">
      <c r="A135">
        <v>9</v>
      </c>
      <c r="F135" s="308" t="s">
        <v>60</v>
      </c>
      <c r="H135" s="167"/>
      <c r="I135" s="167"/>
      <c r="K135" s="65"/>
    </row>
    <row r="136" spans="1:11" s="60" customFormat="1" x14ac:dyDescent="0.25">
      <c r="A136">
        <v>10</v>
      </c>
      <c r="B136" s="874" t="s">
        <v>193</v>
      </c>
      <c r="C136" s="875"/>
      <c r="D136" s="876"/>
      <c r="E136" s="61">
        <v>6.8000000000000005E-2</v>
      </c>
      <c r="F136" s="169">
        <f>IF(D133&lt;D129,D130*0.9825+D134,IF(D130&gt;D129,D129*0.9825+D130-D129+D134, D130*0.9825+D134))</f>
        <v>2079.8330578643181</v>
      </c>
      <c r="H136" s="12"/>
      <c r="I136" s="168"/>
    </row>
    <row r="137" spans="1:11" s="60" customFormat="1" x14ac:dyDescent="0.25">
      <c r="A137">
        <v>11</v>
      </c>
      <c r="B137" s="874" t="s">
        <v>188</v>
      </c>
      <c r="C137" s="875"/>
      <c r="D137" s="876"/>
      <c r="E137" s="61">
        <v>6.8000000000000005E-2</v>
      </c>
      <c r="F137" s="453">
        <f>IF(D133&gt;D129,IF(D130&gt;D129,D131,IF((D129-D130)&gt;D132,(D129-D130-D132)*0.9825+D131-(D129-D130-D132),D131)),D131*0.9825)</f>
        <v>0</v>
      </c>
      <c r="H137" s="168"/>
      <c r="I137" s="168"/>
      <c r="J137" s="65"/>
    </row>
    <row r="138" spans="1:11" s="60" customFormat="1" x14ac:dyDescent="0.25">
      <c r="A138">
        <v>12</v>
      </c>
      <c r="B138" s="874" t="s">
        <v>189</v>
      </c>
      <c r="C138" s="875"/>
      <c r="D138" s="876"/>
      <c r="E138" s="61">
        <v>6.8000000000000005E-2</v>
      </c>
      <c r="F138" s="454">
        <f>IF(D133&lt;D129,D132*0.9825,IF(D130&gt;D129,D132,IF((D129-D130)&gt;D132,D132*0.9825,(D129-D130)*0.9825+D132-(D129-D130))))</f>
        <v>0</v>
      </c>
      <c r="H138" s="65"/>
    </row>
    <row r="139" spans="1:11" s="60" customFormat="1" x14ac:dyDescent="0.25">
      <c r="A139">
        <v>13</v>
      </c>
      <c r="B139" s="874" t="s">
        <v>190</v>
      </c>
      <c r="C139" s="875"/>
      <c r="D139" s="876"/>
      <c r="E139" s="61">
        <v>2.9000000000000001E-2</v>
      </c>
      <c r="F139" s="63">
        <f>F136</f>
        <v>2079.8330578643181</v>
      </c>
    </row>
    <row r="140" spans="1:11" s="60" customFormat="1" x14ac:dyDescent="0.25">
      <c r="A140">
        <v>14</v>
      </c>
      <c r="B140" s="874" t="s">
        <v>191</v>
      </c>
      <c r="C140" s="875"/>
      <c r="D140" s="876"/>
      <c r="E140" s="61">
        <v>2.9000000000000001E-2</v>
      </c>
      <c r="F140" s="63">
        <f>F137+F138</f>
        <v>0</v>
      </c>
    </row>
    <row r="141" spans="1:11" s="60" customFormat="1" x14ac:dyDescent="0.25">
      <c r="A141">
        <v>15</v>
      </c>
      <c r="B141" s="874" t="s">
        <v>192</v>
      </c>
      <c r="C141" s="875"/>
      <c r="D141" s="876"/>
      <c r="E141" s="185">
        <f>'HEURES SUPPLEMENTAIRES '!D57</f>
        <v>0.11310000000000001</v>
      </c>
      <c r="F141" s="63">
        <f>D131</f>
        <v>0</v>
      </c>
    </row>
    <row r="144" spans="1:11" x14ac:dyDescent="0.25">
      <c r="B144" s="872" t="s">
        <v>714</v>
      </c>
      <c r="C144" s="872"/>
      <c r="D144" s="872"/>
      <c r="E144" s="872"/>
    </row>
    <row r="145" spans="2:5" x14ac:dyDescent="0.25">
      <c r="B145" s="566">
        <f>IF('Masque de Saisie'!G9&lt;20,('BP FORMAT JUILLET 2023'!G20+'BP FORMAT JUILLET 2023'!G21+'BP FORMAT JUILLET 2023'!G22)*1.5,0.5*('BP FORMAT JUILLET 2023'!G20+'BP FORMAT JUILLET 2023'!G21+'BP FORMAT JUILLET 2023'!G22))</f>
        <v>0</v>
      </c>
    </row>
    <row r="146" spans="2:5" x14ac:dyDescent="0.25">
      <c r="C146" t="s">
        <v>715</v>
      </c>
    </row>
    <row r="147" spans="2:5" x14ac:dyDescent="0.25">
      <c r="C147" t="s">
        <v>716</v>
      </c>
    </row>
    <row r="148" spans="2:5" x14ac:dyDescent="0.25">
      <c r="C148" t="s">
        <v>717</v>
      </c>
    </row>
    <row r="150" spans="2:5" x14ac:dyDescent="0.25">
      <c r="E150" s="567">
        <v>45778</v>
      </c>
    </row>
  </sheetData>
  <mergeCells count="63">
    <mergeCell ref="B141:D141"/>
    <mergeCell ref="B132:C132"/>
    <mergeCell ref="A86:D86"/>
    <mergeCell ref="A87:D87"/>
    <mergeCell ref="A95:D95"/>
    <mergeCell ref="A105:D105"/>
    <mergeCell ref="A108:D108"/>
    <mergeCell ref="A109:D109"/>
    <mergeCell ref="A97:D97"/>
    <mergeCell ref="A98:D98"/>
    <mergeCell ref="A103:D103"/>
    <mergeCell ref="A96:D96"/>
    <mergeCell ref="A99:D99"/>
    <mergeCell ref="A100:D100"/>
    <mergeCell ref="A104:D104"/>
    <mergeCell ref="B50:C50"/>
    <mergeCell ref="A19:M19"/>
    <mergeCell ref="A93:D93"/>
    <mergeCell ref="A90:D90"/>
    <mergeCell ref="B130:C130"/>
    <mergeCell ref="B54:K54"/>
    <mergeCell ref="A85:D85"/>
    <mergeCell ref="A88:D88"/>
    <mergeCell ref="A91:D91"/>
    <mergeCell ref="A92:D92"/>
    <mergeCell ref="A89:D89"/>
    <mergeCell ref="B129:C129"/>
    <mergeCell ref="A115:D115"/>
    <mergeCell ref="A117:D117"/>
    <mergeCell ref="A121:D121"/>
    <mergeCell ref="A94:D94"/>
    <mergeCell ref="N19:Q19"/>
    <mergeCell ref="N21:Q21"/>
    <mergeCell ref="B49:C49"/>
    <mergeCell ref="B40:C40"/>
    <mergeCell ref="B41:C41"/>
    <mergeCell ref="B42:C42"/>
    <mergeCell ref="B45:C45"/>
    <mergeCell ref="B46:C46"/>
    <mergeCell ref="B47:C47"/>
    <mergeCell ref="B48:C48"/>
    <mergeCell ref="G38:K38"/>
    <mergeCell ref="B21:I21"/>
    <mergeCell ref="E38:F38"/>
    <mergeCell ref="B43:C43"/>
    <mergeCell ref="B44:C44"/>
    <mergeCell ref="B38:C38"/>
    <mergeCell ref="B144:E144"/>
    <mergeCell ref="A111:D111"/>
    <mergeCell ref="A114:D114"/>
    <mergeCell ref="A110:D110"/>
    <mergeCell ref="B138:D138"/>
    <mergeCell ref="B139:D139"/>
    <mergeCell ref="B131:C131"/>
    <mergeCell ref="B133:C133"/>
    <mergeCell ref="B134:C134"/>
    <mergeCell ref="B136:D136"/>
    <mergeCell ref="B137:D137"/>
    <mergeCell ref="A118:D118"/>
    <mergeCell ref="A119:D119"/>
    <mergeCell ref="A120:D120"/>
    <mergeCell ref="A116:D116"/>
    <mergeCell ref="B140:D140"/>
  </mergeCells>
  <printOptions horizontalCentered="1" verticalCentered="1"/>
  <pageMargins left="0.11811023622047245" right="0.11811023622047245" top="0.15748031496062992" bottom="0.15748031496062992" header="0.31496062992125984" footer="0.31496062992125984"/>
  <pageSetup paperSize="9" scale="75" orientation="landscape" cellComments="asDisplayed" horizontalDpi="300" verticalDpi="300" r:id="rId1"/>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K53"/>
  <sheetViews>
    <sheetView workbookViewId="0">
      <selection activeCell="H12" sqref="H12"/>
    </sheetView>
  </sheetViews>
  <sheetFormatPr baseColWidth="10" defaultColWidth="11.42578125" defaultRowHeight="15.75" x14ac:dyDescent="0.25"/>
  <cols>
    <col min="1" max="1" width="3.28515625" style="189" customWidth="1"/>
    <col min="2" max="3" width="23.28515625" style="189" customWidth="1"/>
    <col min="4" max="4" width="11.42578125" style="189"/>
    <col min="5" max="5" width="11.85546875" style="190" bestFit="1" customWidth="1"/>
    <col min="6" max="6" width="17.85546875" style="189" bestFit="1" customWidth="1"/>
    <col min="7" max="7" width="18.85546875" style="189" bestFit="1" customWidth="1"/>
    <col min="8" max="16384" width="11.42578125" style="189"/>
  </cols>
  <sheetData>
    <row r="1" spans="2:11" ht="20.25" customHeight="1" x14ac:dyDescent="0.25">
      <c r="B1" s="892" t="s">
        <v>708</v>
      </c>
      <c r="C1" s="892"/>
      <c r="D1" s="892"/>
      <c r="E1" s="892"/>
      <c r="F1" s="892"/>
      <c r="G1" s="892"/>
      <c r="H1" s="892"/>
    </row>
    <row r="2" spans="2:11" ht="14.25" customHeight="1" x14ac:dyDescent="0.25"/>
    <row r="3" spans="2:11" ht="14.25" customHeight="1" x14ac:dyDescent="0.25"/>
    <row r="5" spans="2:11" ht="14.25" customHeight="1" x14ac:dyDescent="0.25"/>
    <row r="6" spans="2:11" ht="14.25" customHeight="1" x14ac:dyDescent="0.25">
      <c r="C6" s="40" t="s">
        <v>102</v>
      </c>
      <c r="D6" s="40" t="s">
        <v>103</v>
      </c>
      <c r="E6" s="40"/>
      <c r="J6" s="191"/>
      <c r="K6" s="192"/>
    </row>
    <row r="7" spans="2:11" ht="14.25" customHeight="1" x14ac:dyDescent="0.25">
      <c r="B7" s="599">
        <v>0</v>
      </c>
      <c r="C7" s="599">
        <v>1620</v>
      </c>
      <c r="D7" s="540">
        <v>0</v>
      </c>
      <c r="E7" s="541">
        <f t="shared" ref="E7:E26" si="0" xml:space="preserve"> IF($H$11&gt;=B7,IF($H$11&lt;C7,D7,0),0)</f>
        <v>0</v>
      </c>
    </row>
    <row r="8" spans="2:11" ht="14.25" customHeight="1" x14ac:dyDescent="0.25">
      <c r="B8" s="599">
        <f>C7</f>
        <v>1620</v>
      </c>
      <c r="C8" s="599">
        <v>1683</v>
      </c>
      <c r="D8" s="431">
        <v>5.0000000000000001E-3</v>
      </c>
      <c r="E8" s="431">
        <f t="shared" si="0"/>
        <v>0</v>
      </c>
    </row>
    <row r="9" spans="2:11" ht="14.25" customHeight="1" x14ac:dyDescent="0.25">
      <c r="B9" s="599">
        <f>C8</f>
        <v>1683</v>
      </c>
      <c r="C9" s="599">
        <v>1791</v>
      </c>
      <c r="D9" s="431">
        <v>1.2999999999999999E-2</v>
      </c>
      <c r="E9" s="431">
        <f t="shared" si="0"/>
        <v>0</v>
      </c>
    </row>
    <row r="10" spans="2:11" ht="14.25" customHeight="1" x14ac:dyDescent="0.25">
      <c r="B10" s="599">
        <f>C9</f>
        <v>1791</v>
      </c>
      <c r="C10" s="599">
        <v>1911</v>
      </c>
      <c r="D10" s="431">
        <v>2.1000000000000001E-2</v>
      </c>
      <c r="E10" s="431">
        <f t="shared" si="0"/>
        <v>0</v>
      </c>
      <c r="G10" s="890" t="s">
        <v>200</v>
      </c>
      <c r="H10" s="891"/>
    </row>
    <row r="11" spans="2:11" ht="14.25" customHeight="1" x14ac:dyDescent="0.25">
      <c r="B11" s="599">
        <f>C10</f>
        <v>1911</v>
      </c>
      <c r="C11" s="599">
        <v>2042</v>
      </c>
      <c r="D11" s="431">
        <v>2.9000000000000001E-2</v>
      </c>
      <c r="E11" s="431">
        <f t="shared" si="0"/>
        <v>2.9000000000000001E-2</v>
      </c>
      <c r="G11" s="197" t="s">
        <v>100</v>
      </c>
      <c r="H11" s="198">
        <f>'BP FORMAT JUILLET 2023'!D89</f>
        <v>2022.8585100909092</v>
      </c>
    </row>
    <row r="12" spans="2:11" ht="14.25" customHeight="1" x14ac:dyDescent="0.25">
      <c r="B12" s="599">
        <f>C11</f>
        <v>2042</v>
      </c>
      <c r="C12" s="599">
        <v>2151</v>
      </c>
      <c r="D12" s="431">
        <v>3.5000000000000003E-2</v>
      </c>
      <c r="E12" s="431">
        <f t="shared" si="0"/>
        <v>0</v>
      </c>
      <c r="G12" s="197" t="s">
        <v>101</v>
      </c>
      <c r="H12" s="199">
        <f>E27</f>
        <v>2.9000000000000001E-2</v>
      </c>
    </row>
    <row r="13" spans="2:11" ht="14.25" customHeight="1" x14ac:dyDescent="0.25">
      <c r="B13" s="599">
        <f t="shared" ref="B13:B24" si="1">C12</f>
        <v>2151</v>
      </c>
      <c r="C13" s="599">
        <v>2294</v>
      </c>
      <c r="D13" s="431">
        <v>4.1000000000000002E-2</v>
      </c>
      <c r="E13" s="431">
        <f t="shared" si="0"/>
        <v>0</v>
      </c>
    </row>
    <row r="14" spans="2:11" ht="14.25" customHeight="1" x14ac:dyDescent="0.25">
      <c r="B14" s="599">
        <f t="shared" si="1"/>
        <v>2294</v>
      </c>
      <c r="C14" s="599">
        <v>2714</v>
      </c>
      <c r="D14" s="431">
        <v>5.2999999999999999E-2</v>
      </c>
      <c r="E14" s="431">
        <f t="shared" si="0"/>
        <v>0</v>
      </c>
    </row>
    <row r="15" spans="2:11" ht="14.25" customHeight="1" x14ac:dyDescent="0.25">
      <c r="B15" s="599">
        <f t="shared" si="1"/>
        <v>2714</v>
      </c>
      <c r="C15" s="599">
        <v>3107</v>
      </c>
      <c r="D15" s="431">
        <v>7.4999999999999997E-2</v>
      </c>
      <c r="E15" s="431">
        <f t="shared" si="0"/>
        <v>0</v>
      </c>
    </row>
    <row r="16" spans="2:11" ht="14.25" customHeight="1" x14ac:dyDescent="0.25">
      <c r="B16" s="599">
        <f t="shared" si="1"/>
        <v>3107</v>
      </c>
      <c r="C16" s="599">
        <v>3539</v>
      </c>
      <c r="D16" s="431">
        <v>9.9000000000000005E-2</v>
      </c>
      <c r="E16" s="431">
        <f t="shared" si="0"/>
        <v>0</v>
      </c>
    </row>
    <row r="17" spans="2:11" ht="14.25" customHeight="1" x14ac:dyDescent="0.25">
      <c r="B17" s="599">
        <f t="shared" si="1"/>
        <v>3539</v>
      </c>
      <c r="C17" s="599">
        <v>3983</v>
      </c>
      <c r="D17" s="431">
        <v>0.11899999999999999</v>
      </c>
      <c r="E17" s="431">
        <f t="shared" si="0"/>
        <v>0</v>
      </c>
    </row>
    <row r="18" spans="2:11" ht="14.25" customHeight="1" x14ac:dyDescent="0.25">
      <c r="B18" s="599">
        <f t="shared" si="1"/>
        <v>3983</v>
      </c>
      <c r="C18" s="599">
        <v>4648</v>
      </c>
      <c r="D18" s="431">
        <v>0.13800000000000001</v>
      </c>
      <c r="E18" s="431">
        <f t="shared" si="0"/>
        <v>0</v>
      </c>
    </row>
    <row r="19" spans="2:11" ht="14.25" customHeight="1" x14ac:dyDescent="0.25">
      <c r="B19" s="599">
        <f t="shared" si="1"/>
        <v>4648</v>
      </c>
      <c r="C19" s="599">
        <v>5574</v>
      </c>
      <c r="D19" s="431">
        <v>0.158</v>
      </c>
      <c r="E19" s="431">
        <f t="shared" si="0"/>
        <v>0</v>
      </c>
    </row>
    <row r="20" spans="2:11" ht="14.25" customHeight="1" x14ac:dyDescent="0.25">
      <c r="B20" s="599">
        <f t="shared" si="1"/>
        <v>5574</v>
      </c>
      <c r="C20" s="599">
        <v>6974</v>
      </c>
      <c r="D20" s="431">
        <v>0.17899999999999999</v>
      </c>
      <c r="E20" s="431">
        <f t="shared" si="0"/>
        <v>0</v>
      </c>
    </row>
    <row r="21" spans="2:11" ht="14.25" customHeight="1" x14ac:dyDescent="0.25">
      <c r="B21" s="599">
        <f t="shared" si="1"/>
        <v>6974</v>
      </c>
      <c r="C21" s="599">
        <v>8711</v>
      </c>
      <c r="D21" s="431">
        <v>0.2</v>
      </c>
      <c r="E21" s="431">
        <f t="shared" si="0"/>
        <v>0</v>
      </c>
    </row>
    <row r="22" spans="2:11" ht="14.25" customHeight="1" x14ac:dyDescent="0.25">
      <c r="B22" s="599">
        <f t="shared" si="1"/>
        <v>8711</v>
      </c>
      <c r="C22" s="599">
        <v>12091</v>
      </c>
      <c r="D22" s="431">
        <v>0.24</v>
      </c>
      <c r="E22" s="431">
        <f t="shared" si="0"/>
        <v>0</v>
      </c>
    </row>
    <row r="23" spans="2:11" ht="14.25" customHeight="1" x14ac:dyDescent="0.25">
      <c r="B23" s="599">
        <f t="shared" si="1"/>
        <v>12091</v>
      </c>
      <c r="C23" s="599">
        <v>16376</v>
      </c>
      <c r="D23" s="431">
        <v>0.28000000000000003</v>
      </c>
      <c r="E23" s="431">
        <f t="shared" si="0"/>
        <v>0</v>
      </c>
    </row>
    <row r="24" spans="2:11" ht="14.25" customHeight="1" x14ac:dyDescent="0.25">
      <c r="B24" s="599">
        <f t="shared" si="1"/>
        <v>16376</v>
      </c>
      <c r="C24" s="599">
        <v>25706</v>
      </c>
      <c r="D24" s="431">
        <v>0.33</v>
      </c>
      <c r="E24" s="431">
        <f t="shared" si="0"/>
        <v>0</v>
      </c>
    </row>
    <row r="25" spans="2:11" ht="14.25" customHeight="1" x14ac:dyDescent="0.25">
      <c r="B25" s="599">
        <f>C24</f>
        <v>25706</v>
      </c>
      <c r="C25" s="599">
        <v>55062</v>
      </c>
      <c r="D25" s="431">
        <v>0.38</v>
      </c>
      <c r="E25" s="431">
        <f t="shared" si="0"/>
        <v>0</v>
      </c>
    </row>
    <row r="26" spans="2:11" ht="14.25" customHeight="1" x14ac:dyDescent="0.25">
      <c r="B26" s="599">
        <f>C25</f>
        <v>55062</v>
      </c>
      <c r="C26" s="599"/>
      <c r="D26" s="431">
        <v>0.43</v>
      </c>
      <c r="E26" s="431">
        <f t="shared" si="0"/>
        <v>0</v>
      </c>
    </row>
    <row r="27" spans="2:11" ht="14.25" customHeight="1" x14ac:dyDescent="0.25">
      <c r="B27" s="600"/>
      <c r="C27" s="600"/>
      <c r="E27" s="196">
        <f>SUM(E7:E26)</f>
        <v>2.9000000000000001E-2</v>
      </c>
    </row>
    <row r="28" spans="2:11" ht="18" customHeight="1" x14ac:dyDescent="0.25"/>
    <row r="29" spans="2:11" ht="14.25" hidden="1" customHeight="1" x14ac:dyDescent="0.25">
      <c r="B29" s="601" t="s">
        <v>788</v>
      </c>
      <c r="C29" s="601"/>
      <c r="J29" s="893"/>
      <c r="K29" s="893"/>
    </row>
    <row r="30" spans="2:11" ht="14.25" hidden="1" customHeight="1" x14ac:dyDescent="0.25">
      <c r="D30" s="40" t="s">
        <v>103</v>
      </c>
      <c r="E30" s="40"/>
      <c r="K30" s="200"/>
    </row>
    <row r="31" spans="2:11" ht="14.25" hidden="1" customHeight="1" x14ac:dyDescent="0.25">
      <c r="D31" s="193">
        <v>0</v>
      </c>
      <c r="E31" s="194">
        <f t="shared" ref="E31:E50" si="2" xml:space="preserve"> IF($G$34&gt;=B31,IF($G$34&lt;C31,D31,0),0)</f>
        <v>0</v>
      </c>
      <c r="K31" s="201"/>
    </row>
    <row r="32" spans="2:11" ht="14.25" hidden="1" customHeight="1" x14ac:dyDescent="0.25">
      <c r="D32" s="195">
        <v>5.0000000000000001E-3</v>
      </c>
      <c r="E32" s="196">
        <f t="shared" si="2"/>
        <v>0</v>
      </c>
      <c r="F32" s="202"/>
    </row>
    <row r="33" spans="4:7" ht="14.25" hidden="1" customHeight="1" x14ac:dyDescent="0.25">
      <c r="D33" s="195">
        <v>1.2999999999999999E-2</v>
      </c>
      <c r="E33" s="196">
        <f t="shared" si="2"/>
        <v>0</v>
      </c>
      <c r="F33" s="202"/>
      <c r="G33" s="197" t="s">
        <v>201</v>
      </c>
    </row>
    <row r="34" spans="4:7" ht="14.25" hidden="1" customHeight="1" x14ac:dyDescent="0.25">
      <c r="D34" s="196">
        <v>2.1000000000000001E-2</v>
      </c>
      <c r="E34" s="196">
        <f t="shared" si="2"/>
        <v>0</v>
      </c>
      <c r="F34" s="202"/>
      <c r="G34" s="198"/>
    </row>
    <row r="35" spans="4:7" ht="14.25" hidden="1" customHeight="1" x14ac:dyDescent="0.25">
      <c r="D35" s="196">
        <v>2.9000000000000001E-2</v>
      </c>
      <c r="E35" s="196">
        <f t="shared" si="2"/>
        <v>0</v>
      </c>
      <c r="F35" s="202"/>
      <c r="G35" s="199"/>
    </row>
    <row r="36" spans="4:7" ht="14.25" hidden="1" customHeight="1" x14ac:dyDescent="0.25">
      <c r="D36" s="196">
        <v>3.5000000000000003E-2</v>
      </c>
      <c r="E36" s="196">
        <f t="shared" si="2"/>
        <v>0</v>
      </c>
      <c r="F36" s="202"/>
    </row>
    <row r="37" spans="4:7" ht="14.25" hidden="1" customHeight="1" x14ac:dyDescent="0.25">
      <c r="D37" s="196">
        <v>4.1000000000000002E-2</v>
      </c>
      <c r="E37" s="196">
        <f t="shared" si="2"/>
        <v>0</v>
      </c>
      <c r="F37" s="202"/>
    </row>
    <row r="38" spans="4:7" ht="14.25" hidden="1" customHeight="1" x14ac:dyDescent="0.25">
      <c r="D38" s="196">
        <v>5.2999999999999999E-2</v>
      </c>
      <c r="E38" s="196">
        <f t="shared" si="2"/>
        <v>0</v>
      </c>
      <c r="F38" s="202"/>
    </row>
    <row r="39" spans="4:7" ht="14.25" hidden="1" customHeight="1" x14ac:dyDescent="0.25">
      <c r="D39" s="196">
        <v>7.4999999999999997E-2</v>
      </c>
      <c r="E39" s="196">
        <f t="shared" si="2"/>
        <v>0</v>
      </c>
      <c r="F39" s="202"/>
    </row>
    <row r="40" spans="4:7" ht="14.25" hidden="1" customHeight="1" x14ac:dyDescent="0.25">
      <c r="D40" s="196">
        <v>9.9000000000000005E-2</v>
      </c>
      <c r="E40" s="196">
        <f t="shared" si="2"/>
        <v>0</v>
      </c>
      <c r="F40" s="202"/>
    </row>
    <row r="41" spans="4:7" ht="14.25" hidden="1" customHeight="1" x14ac:dyDescent="0.25">
      <c r="D41" s="196">
        <v>0.11899999999999999</v>
      </c>
      <c r="E41" s="196">
        <f t="shared" si="2"/>
        <v>0</v>
      </c>
      <c r="F41" s="202"/>
    </row>
    <row r="42" spans="4:7" ht="14.25" hidden="1" customHeight="1" x14ac:dyDescent="0.25">
      <c r="D42" s="196">
        <v>0.13800000000000001</v>
      </c>
      <c r="E42" s="196">
        <f t="shared" si="2"/>
        <v>0</v>
      </c>
      <c r="F42" s="202"/>
    </row>
    <row r="43" spans="4:7" ht="14.25" hidden="1" customHeight="1" x14ac:dyDescent="0.25">
      <c r="D43" s="196">
        <v>0.158</v>
      </c>
      <c r="E43" s="196">
        <f t="shared" si="2"/>
        <v>0</v>
      </c>
      <c r="F43" s="202"/>
    </row>
    <row r="44" spans="4:7" ht="14.25" hidden="1" customHeight="1" x14ac:dyDescent="0.25">
      <c r="D44" s="196">
        <v>0.17899999999999999</v>
      </c>
      <c r="E44" s="196">
        <f t="shared" si="2"/>
        <v>0</v>
      </c>
      <c r="F44" s="202"/>
    </row>
    <row r="45" spans="4:7" ht="14.25" hidden="1" customHeight="1" x14ac:dyDescent="0.25">
      <c r="D45" s="196">
        <v>0.2</v>
      </c>
      <c r="E45" s="196">
        <f t="shared" si="2"/>
        <v>0</v>
      </c>
      <c r="F45" s="202"/>
    </row>
    <row r="46" spans="4:7" ht="14.25" hidden="1" customHeight="1" x14ac:dyDescent="0.25">
      <c r="D46" s="196">
        <v>0.24</v>
      </c>
      <c r="E46" s="196">
        <f t="shared" si="2"/>
        <v>0</v>
      </c>
      <c r="F46" s="202"/>
    </row>
    <row r="47" spans="4:7" ht="14.25" hidden="1" customHeight="1" x14ac:dyDescent="0.25">
      <c r="D47" s="196">
        <v>0.28000000000000003</v>
      </c>
      <c r="E47" s="196">
        <f t="shared" si="2"/>
        <v>0</v>
      </c>
      <c r="F47" s="202"/>
    </row>
    <row r="48" spans="4:7" ht="14.25" hidden="1" customHeight="1" x14ac:dyDescent="0.25">
      <c r="D48" s="196">
        <v>0.33</v>
      </c>
      <c r="E48" s="196">
        <f t="shared" si="2"/>
        <v>0</v>
      </c>
      <c r="F48" s="202"/>
    </row>
    <row r="49" spans="4:6" ht="14.25" hidden="1" customHeight="1" x14ac:dyDescent="0.25">
      <c r="D49" s="196">
        <v>0.38</v>
      </c>
      <c r="E49" s="196">
        <f t="shared" si="2"/>
        <v>0</v>
      </c>
      <c r="F49" s="202"/>
    </row>
    <row r="50" spans="4:6" ht="14.25" hidden="1" customHeight="1" x14ac:dyDescent="0.25">
      <c r="D50" s="196">
        <v>0.43</v>
      </c>
      <c r="E50" s="196">
        <f t="shared" si="2"/>
        <v>0</v>
      </c>
      <c r="F50" s="202"/>
    </row>
    <row r="51" spans="4:6" ht="14.25" hidden="1" customHeight="1" x14ac:dyDescent="0.25">
      <c r="E51" s="196">
        <f>SUM(E31:E50)</f>
        <v>0</v>
      </c>
      <c r="F51" s="203"/>
    </row>
    <row r="52" spans="4:6" ht="15" hidden="1" customHeight="1" x14ac:dyDescent="0.25"/>
    <row r="53" spans="4:6" ht="15" hidden="1" customHeight="1" x14ac:dyDescent="0.25"/>
  </sheetData>
  <mergeCells count="3">
    <mergeCell ref="G10:H10"/>
    <mergeCell ref="B1:H1"/>
    <mergeCell ref="J29:K29"/>
  </mergeCells>
  <printOptions horizontalCentered="1" verticalCentered="1"/>
  <pageMargins left="0.11811023622047245" right="0.11811023622047245" top="0.15748031496062992" bottom="0.15748031496062992" header="0.31496062992125984" footer="0.31496062992125984"/>
  <pageSetup paperSize="9" scale="75" orientation="landscape" horizontalDpi="300" verticalDpi="30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13DBAC-05E9-4609-8E61-53652D8B31EA}">
  <dimension ref="A1:N450"/>
  <sheetViews>
    <sheetView topLeftCell="B111" zoomScale="110" zoomScaleNormal="110" workbookViewId="0">
      <selection activeCell="C393" sqref="C393"/>
    </sheetView>
  </sheetViews>
  <sheetFormatPr baseColWidth="10" defaultColWidth="11.42578125" defaultRowHeight="15" x14ac:dyDescent="0.25"/>
  <cols>
    <col min="1" max="1" width="11.42578125" style="60"/>
    <col min="2" max="2" width="14.42578125" style="60" customWidth="1"/>
    <col min="3" max="3" width="19.85546875" style="60" customWidth="1"/>
    <col min="4" max="4" width="20.42578125" style="60" customWidth="1"/>
    <col min="5" max="5" width="16.42578125" style="60" customWidth="1"/>
    <col min="6" max="6" width="20.28515625" style="60" customWidth="1"/>
    <col min="7" max="7" width="25" style="60" customWidth="1"/>
    <col min="8" max="8" width="13.5703125" style="60" customWidth="1"/>
    <col min="9" max="9" width="13.85546875" style="60" customWidth="1"/>
    <col min="10" max="10" width="11.42578125" style="60"/>
    <col min="11" max="11" width="14" style="60" customWidth="1"/>
    <col min="12" max="12" width="8.140625" style="60" customWidth="1"/>
    <col min="13" max="16384" width="11.42578125" style="60"/>
  </cols>
  <sheetData>
    <row r="1" spans="2:14" ht="20.25" x14ac:dyDescent="0.3">
      <c r="B1" s="604" t="s">
        <v>752</v>
      </c>
      <c r="C1" s="604"/>
      <c r="D1" s="604"/>
      <c r="E1" s="604"/>
      <c r="F1" s="604"/>
      <c r="G1" s="604"/>
      <c r="H1" s="604"/>
      <c r="I1" s="604"/>
      <c r="J1" s="604"/>
    </row>
    <row r="2" spans="2:14" ht="20.45" x14ac:dyDescent="0.35">
      <c r="B2" s="476"/>
      <c r="C2" s="476"/>
      <c r="D2" s="476"/>
      <c r="E2" s="476"/>
      <c r="F2" s="476"/>
      <c r="G2" s="476"/>
      <c r="H2" s="476"/>
      <c r="I2" s="476"/>
      <c r="J2" s="476"/>
    </row>
    <row r="4" spans="2:14" ht="13.9" x14ac:dyDescent="0.25">
      <c r="B4" s="60" t="s">
        <v>463</v>
      </c>
      <c r="D4" s="382" t="s">
        <v>394</v>
      </c>
      <c r="E4" s="477">
        <v>4005</v>
      </c>
    </row>
    <row r="5" spans="2:14" ht="13.9" x14ac:dyDescent="0.25">
      <c r="D5" s="382" t="s">
        <v>464</v>
      </c>
      <c r="E5" s="477">
        <v>12.02</v>
      </c>
    </row>
    <row r="7" spans="2:14" x14ac:dyDescent="0.25">
      <c r="B7" s="60" t="s">
        <v>465</v>
      </c>
      <c r="E7" s="60" t="s">
        <v>466</v>
      </c>
      <c r="F7" s="62" t="s">
        <v>753</v>
      </c>
    </row>
    <row r="9" spans="2:14" ht="13.9" x14ac:dyDescent="0.25">
      <c r="B9" s="60" t="s">
        <v>467</v>
      </c>
      <c r="E9" s="63">
        <v>2500</v>
      </c>
    </row>
    <row r="11" spans="2:14" x14ac:dyDescent="0.25">
      <c r="B11" s="60" t="s">
        <v>468</v>
      </c>
      <c r="N11" s="62"/>
    </row>
    <row r="12" spans="2:14" ht="13.9" x14ac:dyDescent="0.25">
      <c r="N12" s="62"/>
    </row>
    <row r="13" spans="2:14" x14ac:dyDescent="0.25">
      <c r="B13" s="60" t="s">
        <v>469</v>
      </c>
      <c r="N13" s="62"/>
    </row>
    <row r="14" spans="2:14" ht="13.9" x14ac:dyDescent="0.25">
      <c r="N14" s="62"/>
    </row>
    <row r="15" spans="2:14" ht="21" customHeight="1" x14ac:dyDescent="0.25">
      <c r="B15" s="478" t="s">
        <v>470</v>
      </c>
      <c r="C15" s="478" t="s">
        <v>424</v>
      </c>
      <c r="D15" s="478" t="s">
        <v>471</v>
      </c>
      <c r="E15" s="478" t="s">
        <v>472</v>
      </c>
      <c r="F15" s="478" t="s">
        <v>93</v>
      </c>
      <c r="N15" s="62"/>
    </row>
    <row r="16" spans="2:14" ht="19.5" customHeight="1" x14ac:dyDescent="0.25">
      <c r="B16" s="79" t="s">
        <v>473</v>
      </c>
      <c r="C16" s="39" t="s">
        <v>153</v>
      </c>
      <c r="D16" s="479">
        <v>2500</v>
      </c>
      <c r="E16" s="479">
        <v>300</v>
      </c>
      <c r="F16" s="479">
        <f>D16+E16</f>
        <v>2800</v>
      </c>
      <c r="N16" s="62"/>
    </row>
    <row r="17" spans="2:10" ht="30.75" customHeight="1" x14ac:dyDescent="0.25">
      <c r="B17" s="79" t="s">
        <v>473</v>
      </c>
      <c r="C17" s="39" t="s">
        <v>142</v>
      </c>
      <c r="D17" s="479">
        <v>2500</v>
      </c>
      <c r="E17" s="479"/>
      <c r="F17" s="479">
        <f>SUM(D17:E17)</f>
        <v>2500</v>
      </c>
    </row>
    <row r="18" spans="2:10" ht="30.75" customHeight="1" x14ac:dyDescent="0.25">
      <c r="B18" s="79" t="s">
        <v>427</v>
      </c>
      <c r="C18" s="39" t="s">
        <v>402</v>
      </c>
      <c r="D18" s="479">
        <v>2300</v>
      </c>
      <c r="E18" s="479">
        <v>1000</v>
      </c>
      <c r="F18" s="479">
        <f>SUM(D18:E18)</f>
        <v>3300</v>
      </c>
    </row>
    <row r="20" spans="2:10" x14ac:dyDescent="0.25">
      <c r="B20" s="60" t="s">
        <v>474</v>
      </c>
    </row>
    <row r="22" spans="2:10" x14ac:dyDescent="0.25">
      <c r="C22" s="308" t="s">
        <v>475</v>
      </c>
      <c r="E22" s="308" t="s">
        <v>476</v>
      </c>
    </row>
    <row r="23" spans="2:10" x14ac:dyDescent="0.25">
      <c r="C23" s="382" t="s">
        <v>459</v>
      </c>
      <c r="D23" s="480">
        <v>1</v>
      </c>
    </row>
    <row r="24" spans="2:10" x14ac:dyDescent="0.25">
      <c r="C24" s="382" t="s">
        <v>460</v>
      </c>
      <c r="D24" s="577">
        <v>2</v>
      </c>
      <c r="E24" s="308">
        <v>7</v>
      </c>
      <c r="G24" s="60" t="s">
        <v>754</v>
      </c>
    </row>
    <row r="25" spans="2:10" x14ac:dyDescent="0.25">
      <c r="C25" s="382" t="s">
        <v>454</v>
      </c>
      <c r="D25" s="512">
        <v>3</v>
      </c>
      <c r="E25" s="308">
        <v>7</v>
      </c>
      <c r="G25" s="60" t="s">
        <v>758</v>
      </c>
    </row>
    <row r="26" spans="2:10" x14ac:dyDescent="0.25">
      <c r="C26" s="382" t="s">
        <v>455</v>
      </c>
      <c r="D26" s="512">
        <v>4</v>
      </c>
      <c r="E26" s="308">
        <v>7</v>
      </c>
      <c r="G26" s="62"/>
      <c r="H26" s="382" t="s">
        <v>476</v>
      </c>
    </row>
    <row r="27" spans="2:10" x14ac:dyDescent="0.25">
      <c r="C27" s="382" t="s">
        <v>456</v>
      </c>
      <c r="D27" s="512">
        <v>5</v>
      </c>
      <c r="E27" s="308">
        <v>7</v>
      </c>
    </row>
    <row r="28" spans="2:10" x14ac:dyDescent="0.25">
      <c r="C28" s="382" t="s">
        <v>457</v>
      </c>
      <c r="D28" s="512">
        <v>6</v>
      </c>
      <c r="E28" s="308">
        <v>7</v>
      </c>
      <c r="F28" s="511" t="s">
        <v>457</v>
      </c>
      <c r="G28" s="482">
        <v>20</v>
      </c>
      <c r="H28" s="578">
        <v>7</v>
      </c>
      <c r="I28" s="624" t="s">
        <v>755</v>
      </c>
    </row>
    <row r="29" spans="2:10" ht="15" customHeight="1" x14ac:dyDescent="0.25">
      <c r="C29" s="382" t="s">
        <v>458</v>
      </c>
      <c r="D29" s="480">
        <v>7</v>
      </c>
      <c r="E29" s="382"/>
      <c r="F29" s="511" t="s">
        <v>458</v>
      </c>
      <c r="G29" s="481">
        <v>21</v>
      </c>
      <c r="H29" s="557"/>
      <c r="I29" s="624"/>
    </row>
    <row r="30" spans="2:10" x14ac:dyDescent="0.25">
      <c r="C30" s="382" t="s">
        <v>459</v>
      </c>
      <c r="D30" s="480">
        <v>8</v>
      </c>
      <c r="E30" s="382"/>
      <c r="F30" s="511" t="s">
        <v>459</v>
      </c>
      <c r="G30" s="481">
        <v>22</v>
      </c>
      <c r="H30" s="557"/>
      <c r="I30" s="624"/>
    </row>
    <row r="31" spans="2:10" x14ac:dyDescent="0.25">
      <c r="C31" s="382" t="s">
        <v>460</v>
      </c>
      <c r="D31" s="512">
        <v>9</v>
      </c>
      <c r="E31" s="308">
        <v>7</v>
      </c>
      <c r="F31" s="511" t="s">
        <v>460</v>
      </c>
      <c r="G31" s="481">
        <v>23</v>
      </c>
      <c r="H31" s="578">
        <v>7</v>
      </c>
      <c r="I31" s="624"/>
      <c r="J31" s="626" t="s">
        <v>756</v>
      </c>
    </row>
    <row r="32" spans="2:10" x14ac:dyDescent="0.25">
      <c r="C32" s="382" t="s">
        <v>454</v>
      </c>
      <c r="D32" s="512">
        <v>10</v>
      </c>
      <c r="E32" s="308">
        <v>7</v>
      </c>
      <c r="F32" s="511" t="s">
        <v>454</v>
      </c>
      <c r="G32" s="481">
        <v>24</v>
      </c>
      <c r="H32" s="578">
        <v>7</v>
      </c>
      <c r="I32" s="624"/>
      <c r="J32" s="626"/>
    </row>
    <row r="33" spans="3:11" x14ac:dyDescent="0.25">
      <c r="C33" s="382" t="s">
        <v>455</v>
      </c>
      <c r="D33" s="512">
        <v>11</v>
      </c>
      <c r="E33" s="308">
        <v>7</v>
      </c>
      <c r="F33" s="511" t="s">
        <v>455</v>
      </c>
      <c r="G33" s="481">
        <v>25</v>
      </c>
      <c r="H33" s="578">
        <v>7</v>
      </c>
      <c r="I33" s="624"/>
      <c r="J33" s="626"/>
    </row>
    <row r="34" spans="3:11" x14ac:dyDescent="0.25">
      <c r="C34" s="382" t="s">
        <v>456</v>
      </c>
      <c r="D34" s="510">
        <v>12</v>
      </c>
      <c r="E34" s="308">
        <v>7</v>
      </c>
      <c r="F34" s="511" t="s">
        <v>456</v>
      </c>
      <c r="G34" s="481">
        <v>26</v>
      </c>
      <c r="H34" s="578">
        <v>7</v>
      </c>
      <c r="I34" s="624"/>
      <c r="J34" s="626"/>
      <c r="K34" s="62"/>
    </row>
    <row r="35" spans="3:11" ht="15" customHeight="1" x14ac:dyDescent="0.25">
      <c r="C35" s="382" t="s">
        <v>457</v>
      </c>
      <c r="D35" s="510">
        <v>13</v>
      </c>
      <c r="E35" s="308">
        <v>7</v>
      </c>
      <c r="F35" s="511" t="s">
        <v>457</v>
      </c>
      <c r="G35" s="548">
        <v>27</v>
      </c>
      <c r="H35" s="578">
        <v>7</v>
      </c>
      <c r="I35" s="624"/>
      <c r="J35" s="626"/>
    </row>
    <row r="36" spans="3:11" x14ac:dyDescent="0.25">
      <c r="C36" s="382" t="s">
        <v>458</v>
      </c>
      <c r="D36" s="482">
        <v>14</v>
      </c>
      <c r="E36" s="382"/>
      <c r="F36" s="511" t="s">
        <v>458</v>
      </c>
      <c r="G36" s="548">
        <v>28</v>
      </c>
      <c r="H36" s="579"/>
      <c r="I36" s="624"/>
      <c r="J36" s="626"/>
    </row>
    <row r="37" spans="3:11" x14ac:dyDescent="0.25">
      <c r="C37" s="382" t="s">
        <v>459</v>
      </c>
      <c r="D37" s="482">
        <v>15</v>
      </c>
      <c r="E37" s="382"/>
      <c r="F37" s="511" t="s">
        <v>459</v>
      </c>
      <c r="G37" s="548">
        <v>29</v>
      </c>
      <c r="H37" s="557"/>
      <c r="I37" s="624"/>
      <c r="J37" s="626"/>
    </row>
    <row r="38" spans="3:11" x14ac:dyDescent="0.25">
      <c r="C38" s="382" t="s">
        <v>460</v>
      </c>
      <c r="D38" s="510">
        <v>16</v>
      </c>
      <c r="E38" s="308">
        <v>7</v>
      </c>
      <c r="F38" s="511" t="s">
        <v>460</v>
      </c>
      <c r="G38" s="548">
        <v>30</v>
      </c>
      <c r="H38" s="578">
        <v>7</v>
      </c>
      <c r="I38" s="624"/>
      <c r="J38" s="626"/>
    </row>
    <row r="39" spans="3:11" x14ac:dyDescent="0.25">
      <c r="C39" s="382" t="s">
        <v>454</v>
      </c>
      <c r="D39" s="510">
        <v>17</v>
      </c>
      <c r="E39" s="308">
        <v>7</v>
      </c>
      <c r="F39" s="511" t="s">
        <v>454</v>
      </c>
      <c r="G39" s="548">
        <v>31</v>
      </c>
      <c r="H39" s="578">
        <v>7</v>
      </c>
      <c r="I39" s="625"/>
      <c r="J39" s="626"/>
    </row>
    <row r="40" spans="3:11" x14ac:dyDescent="0.25">
      <c r="C40" s="382" t="s">
        <v>455</v>
      </c>
      <c r="D40" s="510">
        <v>18</v>
      </c>
      <c r="E40" s="308">
        <v>7</v>
      </c>
    </row>
    <row r="41" spans="3:11" x14ac:dyDescent="0.25">
      <c r="C41" s="382" t="s">
        <v>456</v>
      </c>
      <c r="D41" s="510">
        <v>19</v>
      </c>
      <c r="E41" s="308">
        <v>7</v>
      </c>
    </row>
    <row r="42" spans="3:11" x14ac:dyDescent="0.25">
      <c r="D42" s="62"/>
      <c r="E42" s="308">
        <f>SUM(E23:E41)</f>
        <v>98</v>
      </c>
      <c r="H42" s="382">
        <f>SUM(H28:H39)</f>
        <v>56</v>
      </c>
    </row>
    <row r="43" spans="3:11" x14ac:dyDescent="0.25">
      <c r="F43" s="60" t="s">
        <v>757</v>
      </c>
    </row>
    <row r="44" spans="3:11" x14ac:dyDescent="0.25">
      <c r="C44" s="60" t="s">
        <v>477</v>
      </c>
    </row>
    <row r="46" spans="3:11" x14ac:dyDescent="0.25">
      <c r="D46" s="60" t="s">
        <v>759</v>
      </c>
      <c r="E46" s="60">
        <f>E42+H42</f>
        <v>154</v>
      </c>
      <c r="F46" s="60" t="s">
        <v>478</v>
      </c>
    </row>
    <row r="47" spans="3:11" x14ac:dyDescent="0.25">
      <c r="C47" s="60" t="s">
        <v>671</v>
      </c>
      <c r="E47" s="60">
        <v>56</v>
      </c>
      <c r="F47" s="60" t="s">
        <v>478</v>
      </c>
      <c r="G47" s="60" t="s">
        <v>479</v>
      </c>
      <c r="I47" s="63">
        <f>E9*E47/E46</f>
        <v>909.09090909090912</v>
      </c>
    </row>
    <row r="48" spans="3:11" x14ac:dyDescent="0.25">
      <c r="I48" s="60" t="s">
        <v>760</v>
      </c>
    </row>
    <row r="49" spans="2:9" x14ac:dyDescent="0.25">
      <c r="B49" s="492" t="s">
        <v>522</v>
      </c>
      <c r="D49" s="493"/>
      <c r="E49" s="493"/>
      <c r="F49" s="493"/>
    </row>
    <row r="50" spans="2:9" x14ac:dyDescent="0.25">
      <c r="F50" s="65"/>
    </row>
    <row r="51" spans="2:9" x14ac:dyDescent="0.25">
      <c r="C51" s="60" t="s">
        <v>524</v>
      </c>
      <c r="E51" s="60" t="s">
        <v>525</v>
      </c>
    </row>
    <row r="52" spans="2:9" x14ac:dyDescent="0.25">
      <c r="E52" s="60" t="s">
        <v>623</v>
      </c>
      <c r="F52" s="65"/>
    </row>
    <row r="53" spans="2:9" x14ac:dyDescent="0.25">
      <c r="D53" s="494"/>
      <c r="F53" s="65"/>
    </row>
    <row r="54" spans="2:9" ht="34.9" customHeight="1" x14ac:dyDescent="0.25">
      <c r="D54" s="603" t="s">
        <v>621</v>
      </c>
      <c r="E54" s="603"/>
      <c r="F54" s="603"/>
      <c r="G54" s="603"/>
    </row>
    <row r="55" spans="2:9" s="564" customFormat="1" ht="19.899999999999999" customHeight="1" x14ac:dyDescent="0.25">
      <c r="D55" s="565"/>
      <c r="E55" s="565"/>
      <c r="F55" s="565"/>
      <c r="G55" s="565"/>
    </row>
    <row r="57" spans="2:9" x14ac:dyDescent="0.25">
      <c r="C57" s="60" t="s">
        <v>528</v>
      </c>
      <c r="E57" s="60" t="s">
        <v>710</v>
      </c>
    </row>
    <row r="59" spans="2:9" x14ac:dyDescent="0.25">
      <c r="C59" s="60" t="s">
        <v>461</v>
      </c>
      <c r="F59" s="60" t="s">
        <v>507</v>
      </c>
      <c r="G59" s="60" t="s">
        <v>761</v>
      </c>
      <c r="I59" s="63">
        <f>90%*2500*56 / E46</f>
        <v>818.18181818181813</v>
      </c>
    </row>
    <row r="60" spans="2:9" x14ac:dyDescent="0.25">
      <c r="C60" s="60" t="s">
        <v>482</v>
      </c>
      <c r="G60" s="60" t="s">
        <v>775</v>
      </c>
      <c r="I60" s="63">
        <f>-9*'MATRICE IJSS ABSENCE '!G28</f>
        <v>-375.02163900000005</v>
      </c>
    </row>
    <row r="61" spans="2:9" x14ac:dyDescent="0.25">
      <c r="I61" s="63">
        <f>SUM(I59:I60)</f>
        <v>443.16017918181808</v>
      </c>
    </row>
    <row r="62" spans="2:9" x14ac:dyDescent="0.25">
      <c r="C62" s="60" t="s">
        <v>602</v>
      </c>
      <c r="I62" s="485"/>
    </row>
    <row r="63" spans="2:9" x14ac:dyDescent="0.25">
      <c r="I63" s="485"/>
    </row>
    <row r="64" spans="2:9" x14ac:dyDescent="0.25">
      <c r="C64" s="60" t="s">
        <v>776</v>
      </c>
      <c r="I64" s="485"/>
    </row>
    <row r="65" spans="3:9" x14ac:dyDescent="0.25">
      <c r="I65" s="485"/>
    </row>
    <row r="66" spans="3:9" x14ac:dyDescent="0.25">
      <c r="C66" s="60" t="s">
        <v>461</v>
      </c>
      <c r="F66" s="60" t="s">
        <v>507</v>
      </c>
      <c r="G66" s="60" t="s">
        <v>777</v>
      </c>
      <c r="I66" s="63">
        <f>90%*2500*8 / 21.67</f>
        <v>830.64143977849551</v>
      </c>
    </row>
    <row r="67" spans="3:9" x14ac:dyDescent="0.25">
      <c r="C67" s="60" t="s">
        <v>482</v>
      </c>
      <c r="G67" s="60" t="s">
        <v>778</v>
      </c>
      <c r="I67" s="63">
        <f>I60</f>
        <v>-375.02163900000005</v>
      </c>
    </row>
    <row r="68" spans="3:9" x14ac:dyDescent="0.25">
      <c r="F68" s="60" t="s">
        <v>673</v>
      </c>
      <c r="I68" s="63">
        <f>SUM(I66:I67)</f>
        <v>455.61980077849546</v>
      </c>
    </row>
    <row r="69" spans="3:9" x14ac:dyDescent="0.25">
      <c r="F69" s="60" t="s">
        <v>674</v>
      </c>
    </row>
    <row r="70" spans="3:9" x14ac:dyDescent="0.25">
      <c r="C70" s="483"/>
    </row>
    <row r="71" spans="3:9" x14ac:dyDescent="0.25">
      <c r="C71" s="483" t="s">
        <v>483</v>
      </c>
      <c r="H71" s="613" t="s">
        <v>484</v>
      </c>
    </row>
    <row r="72" spans="3:9" x14ac:dyDescent="0.25">
      <c r="D72" s="60" t="s">
        <v>461</v>
      </c>
      <c r="F72" s="63">
        <f>I59</f>
        <v>818.18181818181813</v>
      </c>
      <c r="H72" s="613"/>
    </row>
    <row r="73" spans="3:9" x14ac:dyDescent="0.25">
      <c r="D73" s="60" t="s">
        <v>23</v>
      </c>
      <c r="F73" s="486">
        <f>I60</f>
        <v>-375.02163900000005</v>
      </c>
      <c r="H73" s="613"/>
    </row>
    <row r="74" spans="3:9" x14ac:dyDescent="0.25">
      <c r="F74" s="490">
        <f>SUM(F72:F73)</f>
        <v>443.16017918181808</v>
      </c>
      <c r="H74" s="613"/>
    </row>
    <row r="75" spans="3:9" x14ac:dyDescent="0.25">
      <c r="C75" s="483" t="s">
        <v>485</v>
      </c>
      <c r="H75" s="613"/>
    </row>
    <row r="76" spans="3:9" x14ac:dyDescent="0.25">
      <c r="H76" s="613"/>
    </row>
    <row r="77" spans="3:9" x14ac:dyDescent="0.25">
      <c r="D77" s="60" t="s">
        <v>461</v>
      </c>
      <c r="F77" s="63">
        <f>F72</f>
        <v>818.18181818181813</v>
      </c>
      <c r="H77" s="613"/>
    </row>
    <row r="78" spans="3:9" x14ac:dyDescent="0.25">
      <c r="D78" s="60" t="s">
        <v>23</v>
      </c>
      <c r="F78" s="486">
        <f>F73</f>
        <v>-375.02163900000005</v>
      </c>
      <c r="H78" s="613"/>
    </row>
    <row r="79" spans="3:9" x14ac:dyDescent="0.25">
      <c r="F79" s="486">
        <f>SUM(F77:F78)</f>
        <v>443.16017918181808</v>
      </c>
      <c r="G79" s="60" t="s">
        <v>672</v>
      </c>
      <c r="H79" s="64"/>
    </row>
    <row r="80" spans="3:9" x14ac:dyDescent="0.25">
      <c r="F80" s="65"/>
      <c r="G80" s="60" t="s">
        <v>706</v>
      </c>
      <c r="H80" s="64"/>
    </row>
    <row r="81" spans="3:11" x14ac:dyDescent="0.25">
      <c r="F81" s="65"/>
      <c r="G81" s="60" t="s">
        <v>678</v>
      </c>
      <c r="H81" s="64"/>
    </row>
    <row r="82" spans="3:11" x14ac:dyDescent="0.25">
      <c r="F82" s="65"/>
      <c r="H82" s="64"/>
    </row>
    <row r="83" spans="3:11" x14ac:dyDescent="0.25">
      <c r="C83" s="483" t="s">
        <v>486</v>
      </c>
      <c r="F83" s="65"/>
      <c r="H83" s="64"/>
    </row>
    <row r="84" spans="3:11" x14ac:dyDescent="0.25">
      <c r="D84" s="60" t="s">
        <v>712</v>
      </c>
      <c r="F84" s="65"/>
      <c r="H84" s="64"/>
    </row>
    <row r="85" spans="3:11" x14ac:dyDescent="0.25">
      <c r="F85" s="65"/>
      <c r="H85" s="64"/>
    </row>
    <row r="86" spans="3:11" x14ac:dyDescent="0.25">
      <c r="D86" s="60" t="s">
        <v>711</v>
      </c>
      <c r="F86" s="549">
        <f>'TABLE DES TAUX 2026 '!D51</f>
        <v>4005</v>
      </c>
      <c r="H86" s="64"/>
    </row>
    <row r="87" spans="3:11" x14ac:dyDescent="0.25">
      <c r="F87" s="65"/>
      <c r="H87" s="64"/>
    </row>
    <row r="88" spans="3:11" x14ac:dyDescent="0.25">
      <c r="C88" s="483" t="s">
        <v>13</v>
      </c>
      <c r="D88" s="60" t="s">
        <v>713</v>
      </c>
      <c r="F88" s="65"/>
      <c r="H88" s="64"/>
    </row>
    <row r="89" spans="3:11" x14ac:dyDescent="0.25">
      <c r="C89" s="483"/>
      <c r="F89" s="65"/>
      <c r="H89" s="64"/>
    </row>
    <row r="90" spans="3:11" x14ac:dyDescent="0.25">
      <c r="C90" s="483"/>
      <c r="F90" s="549">
        <f>151.67*'BP FORMAT JUILLET 2023'!J33/'BP FORMAT JUILLET 2023'!J13</f>
        <v>123.40291447787524</v>
      </c>
      <c r="H90" s="64"/>
    </row>
    <row r="91" spans="3:11" x14ac:dyDescent="0.25">
      <c r="C91" s="483"/>
      <c r="F91" s="550"/>
      <c r="H91" s="64"/>
    </row>
    <row r="92" spans="3:11" x14ac:dyDescent="0.25">
      <c r="C92" s="483"/>
      <c r="F92" s="550"/>
      <c r="H92" s="64"/>
    </row>
    <row r="93" spans="3:11" x14ac:dyDescent="0.25">
      <c r="C93" s="483"/>
      <c r="F93" s="65"/>
      <c r="G93" s="605" t="s">
        <v>779</v>
      </c>
      <c r="H93" s="605"/>
      <c r="I93" s="605"/>
    </row>
    <row r="94" spans="3:11" x14ac:dyDescent="0.25">
      <c r="C94" s="483" t="s">
        <v>781</v>
      </c>
      <c r="F94" s="549">
        <f>3*E5*F90</f>
        <v>4449.9090960721815</v>
      </c>
      <c r="G94" s="605" t="s">
        <v>780</v>
      </c>
      <c r="H94" s="605"/>
      <c r="I94" s="605"/>
    </row>
    <row r="95" spans="3:11" x14ac:dyDescent="0.25">
      <c r="C95" s="483"/>
      <c r="F95" s="550"/>
      <c r="G95" s="62"/>
      <c r="H95" s="62"/>
      <c r="I95" s="62"/>
      <c r="J95" s="62"/>
      <c r="K95" s="62"/>
    </row>
    <row r="96" spans="3:11" x14ac:dyDescent="0.25">
      <c r="C96" s="498" t="s">
        <v>679</v>
      </c>
      <c r="F96" s="550"/>
      <c r="G96" s="62"/>
      <c r="H96" s="62"/>
      <c r="I96" s="62"/>
      <c r="J96" s="62"/>
      <c r="K96" s="62"/>
    </row>
    <row r="98" spans="2:10" x14ac:dyDescent="0.25">
      <c r="C98" s="60" t="s">
        <v>489</v>
      </c>
      <c r="D98" s="62"/>
      <c r="E98" s="62"/>
      <c r="F98" s="62"/>
      <c r="G98" s="62"/>
    </row>
    <row r="99" spans="2:10" x14ac:dyDescent="0.25">
      <c r="D99" s="62"/>
      <c r="E99" s="62"/>
      <c r="F99" s="62"/>
      <c r="G99" s="62"/>
    </row>
    <row r="100" spans="2:10" x14ac:dyDescent="0.25">
      <c r="D100" s="62" t="s">
        <v>490</v>
      </c>
      <c r="E100" s="488">
        <f>'MATRICE IJSS ABSENCE '!G30</f>
        <v>375.02</v>
      </c>
      <c r="F100" s="62" t="s">
        <v>707</v>
      </c>
      <c r="G100" s="62"/>
    </row>
    <row r="101" spans="2:10" x14ac:dyDescent="0.25">
      <c r="D101" s="62" t="s">
        <v>491</v>
      </c>
      <c r="E101" s="488">
        <f>'MATRICE IJSS ABSENCE '!G31</f>
        <v>349.89</v>
      </c>
      <c r="F101" s="62" t="s">
        <v>680</v>
      </c>
      <c r="G101" s="62"/>
    </row>
    <row r="103" spans="2:10" x14ac:dyDescent="0.25">
      <c r="C103" s="60" t="s">
        <v>332</v>
      </c>
      <c r="D103" s="60" t="s">
        <v>782</v>
      </c>
      <c r="E103" s="60" t="s">
        <v>783</v>
      </c>
    </row>
    <row r="105" spans="2:10" x14ac:dyDescent="0.25">
      <c r="C105" s="498" t="s">
        <v>681</v>
      </c>
    </row>
    <row r="106" spans="2:10" x14ac:dyDescent="0.25">
      <c r="C106" s="498" t="s">
        <v>682</v>
      </c>
    </row>
    <row r="107" spans="2:10" x14ac:dyDescent="0.25">
      <c r="B107" s="483"/>
      <c r="D107" s="62"/>
      <c r="E107" s="62"/>
      <c r="F107" s="62"/>
      <c r="G107" s="62"/>
    </row>
    <row r="108" spans="2:10" x14ac:dyDescent="0.25">
      <c r="B108" s="483"/>
      <c r="C108" s="60" t="s">
        <v>709</v>
      </c>
      <c r="D108" s="62"/>
      <c r="E108" s="62"/>
      <c r="F108" s="62"/>
      <c r="G108" s="62"/>
    </row>
    <row r="109" spans="2:10" x14ac:dyDescent="0.25">
      <c r="B109" s="483"/>
      <c r="D109" s="62"/>
      <c r="E109" s="62"/>
      <c r="F109" s="62"/>
      <c r="G109" s="62"/>
    </row>
    <row r="110" spans="2:10" x14ac:dyDescent="0.25">
      <c r="B110" s="483"/>
      <c r="C110" s="614" t="s">
        <v>62</v>
      </c>
      <c r="D110" s="614"/>
      <c r="E110" s="62"/>
      <c r="F110" s="455">
        <f>'BP FORMAT JUILLET 2023'!J85</f>
        <v>1662.0892700909092</v>
      </c>
      <c r="G110" s="62" t="s">
        <v>675</v>
      </c>
      <c r="I110" s="60" t="s">
        <v>62</v>
      </c>
      <c r="J110" s="490">
        <f>F110</f>
        <v>1662.0892700909092</v>
      </c>
    </row>
    <row r="111" spans="2:10" x14ac:dyDescent="0.25">
      <c r="B111" s="483"/>
      <c r="C111" s="62" t="s">
        <v>490</v>
      </c>
      <c r="D111" s="62"/>
      <c r="E111" s="62" t="s">
        <v>492</v>
      </c>
      <c r="F111" s="455">
        <f>'MATRICE IJSS ABSENCE '!G30</f>
        <v>375.02</v>
      </c>
      <c r="I111" s="60" t="s">
        <v>491</v>
      </c>
      <c r="J111" s="490">
        <f>'MATRICE IJSS ABSENCE '!G31</f>
        <v>349.89</v>
      </c>
    </row>
    <row r="112" spans="2:10" x14ac:dyDescent="0.25">
      <c r="B112" s="483"/>
      <c r="C112" s="60" t="s">
        <v>493</v>
      </c>
      <c r="D112" s="62"/>
      <c r="E112" s="62" t="s">
        <v>494</v>
      </c>
      <c r="F112" s="455">
        <f>-'MATRICE IJSS ABSENCE '!G33</f>
        <v>-14.25076</v>
      </c>
      <c r="H112" s="606" t="s">
        <v>495</v>
      </c>
      <c r="I112" s="607"/>
      <c r="J112" s="490">
        <f>'MATRICE IJSS ABSENCE '!G32</f>
        <v>10.875579999999999</v>
      </c>
    </row>
    <row r="113" spans="2:10" x14ac:dyDescent="0.25">
      <c r="B113" s="483"/>
      <c r="C113" s="60" t="s">
        <v>496</v>
      </c>
      <c r="D113" s="62"/>
      <c r="E113" s="62"/>
      <c r="F113" s="491">
        <f>SUM(F110:F112)</f>
        <v>2022.8585100909092</v>
      </c>
      <c r="H113" s="606"/>
      <c r="I113" s="607"/>
      <c r="J113" s="490">
        <f>SUM(J110:J112)</f>
        <v>2022.8548500909092</v>
      </c>
    </row>
    <row r="114" spans="2:10" x14ac:dyDescent="0.25">
      <c r="B114" s="483"/>
      <c r="D114" s="62"/>
      <c r="E114" s="62"/>
      <c r="F114" s="551"/>
      <c r="H114" s="291"/>
      <c r="I114" s="291"/>
      <c r="J114" s="451"/>
    </row>
    <row r="115" spans="2:10" x14ac:dyDescent="0.25">
      <c r="B115" s="483"/>
      <c r="C115" s="60" t="s">
        <v>498</v>
      </c>
      <c r="D115" s="62"/>
      <c r="E115" s="62"/>
      <c r="F115" s="488"/>
      <c r="G115" s="62"/>
    </row>
    <row r="116" spans="2:10" x14ac:dyDescent="0.25">
      <c r="B116" s="483"/>
      <c r="C116" s="60" t="s">
        <v>499</v>
      </c>
      <c r="D116" s="62"/>
      <c r="E116" s="62"/>
      <c r="F116" s="488"/>
      <c r="G116" s="62"/>
    </row>
    <row r="117" spans="2:10" x14ac:dyDescent="0.25">
      <c r="B117" s="483"/>
      <c r="C117" s="60" t="s">
        <v>497</v>
      </c>
      <c r="D117" s="62"/>
      <c r="E117" s="62"/>
      <c r="F117" s="488"/>
      <c r="G117" s="62"/>
    </row>
    <row r="118" spans="2:10" x14ac:dyDescent="0.25">
      <c r="B118" s="483"/>
      <c r="D118" s="62"/>
      <c r="E118" s="62"/>
      <c r="F118" s="488"/>
      <c r="G118" s="62"/>
    </row>
    <row r="119" spans="2:10" x14ac:dyDescent="0.25">
      <c r="B119" s="483"/>
      <c r="D119" s="62"/>
      <c r="E119" s="62"/>
      <c r="F119" s="488"/>
      <c r="G119" s="62"/>
    </row>
    <row r="120" spans="2:10" x14ac:dyDescent="0.25">
      <c r="B120" s="483"/>
      <c r="D120" s="62"/>
      <c r="E120" s="62"/>
      <c r="F120" s="488"/>
      <c r="G120" s="62"/>
      <c r="H120" s="60" t="s">
        <v>676</v>
      </c>
    </row>
    <row r="121" spans="2:10" x14ac:dyDescent="0.25">
      <c r="B121" s="483"/>
      <c r="D121" s="62"/>
      <c r="E121" s="62"/>
      <c r="F121" s="488"/>
      <c r="G121" s="62"/>
    </row>
    <row r="122" spans="2:10" x14ac:dyDescent="0.25">
      <c r="B122" s="483"/>
      <c r="D122" s="62"/>
      <c r="E122" s="62"/>
      <c r="F122" s="488"/>
      <c r="G122" s="62"/>
    </row>
    <row r="123" spans="2:10" x14ac:dyDescent="0.25">
      <c r="B123" s="483"/>
      <c r="D123" s="62"/>
      <c r="E123" s="62"/>
      <c r="F123" s="488"/>
      <c r="G123" s="62"/>
    </row>
    <row r="124" spans="2:10" ht="6" customHeight="1" x14ac:dyDescent="0.25">
      <c r="B124" s="483"/>
      <c r="D124" s="62"/>
      <c r="E124" s="62"/>
      <c r="F124" s="488"/>
      <c r="G124" s="62"/>
    </row>
    <row r="125" spans="2:10" ht="50.25" hidden="1" customHeight="1" x14ac:dyDescent="0.25">
      <c r="B125" s="483"/>
      <c r="C125" s="615" t="s">
        <v>500</v>
      </c>
      <c r="D125" s="616"/>
      <c r="E125" s="616"/>
      <c r="F125" s="617"/>
      <c r="G125" s="62"/>
    </row>
    <row r="126" spans="2:10" hidden="1" x14ac:dyDescent="0.25">
      <c r="B126" s="483"/>
      <c r="C126" s="618"/>
      <c r="D126" s="619"/>
      <c r="E126" s="619"/>
      <c r="F126" s="620"/>
      <c r="G126" s="62"/>
    </row>
    <row r="127" spans="2:10" hidden="1" x14ac:dyDescent="0.25">
      <c r="B127" s="483"/>
      <c r="C127" s="618"/>
      <c r="D127" s="619"/>
      <c r="E127" s="619"/>
      <c r="F127" s="620"/>
      <c r="G127" s="62"/>
    </row>
    <row r="128" spans="2:10" hidden="1" x14ac:dyDescent="0.25">
      <c r="B128" s="483"/>
      <c r="C128" s="618"/>
      <c r="D128" s="619"/>
      <c r="E128" s="619"/>
      <c r="F128" s="620"/>
      <c r="G128" s="62"/>
    </row>
    <row r="129" spans="2:7" hidden="1" x14ac:dyDescent="0.25">
      <c r="B129" s="483"/>
      <c r="C129" s="618"/>
      <c r="D129" s="619"/>
      <c r="E129" s="619"/>
      <c r="F129" s="620"/>
      <c r="G129" s="62"/>
    </row>
    <row r="130" spans="2:7" hidden="1" x14ac:dyDescent="0.25">
      <c r="B130" s="483"/>
      <c r="C130" s="618"/>
      <c r="D130" s="619"/>
      <c r="E130" s="619"/>
      <c r="F130" s="620"/>
      <c r="G130" s="62"/>
    </row>
    <row r="131" spans="2:7" ht="0.75" hidden="1" customHeight="1" x14ac:dyDescent="0.25">
      <c r="B131" s="483"/>
      <c r="C131" s="618"/>
      <c r="D131" s="619"/>
      <c r="E131" s="619"/>
      <c r="F131" s="620"/>
      <c r="G131" s="62"/>
    </row>
    <row r="132" spans="2:7" ht="0.75" customHeight="1" x14ac:dyDescent="0.25">
      <c r="B132" s="483"/>
      <c r="C132" s="618"/>
      <c r="D132" s="619"/>
      <c r="E132" s="619"/>
      <c r="F132" s="620"/>
      <c r="G132" s="62"/>
    </row>
    <row r="133" spans="2:7" ht="0.75" customHeight="1" x14ac:dyDescent="0.25">
      <c r="B133" s="483"/>
      <c r="C133" s="618"/>
      <c r="D133" s="619"/>
      <c r="E133" s="619"/>
      <c r="F133" s="620"/>
      <c r="G133" s="62"/>
    </row>
    <row r="134" spans="2:7" ht="131.25" customHeight="1" x14ac:dyDescent="0.25">
      <c r="B134" s="483"/>
      <c r="C134" s="621"/>
      <c r="D134" s="622"/>
      <c r="E134" s="622"/>
      <c r="F134" s="623"/>
      <c r="G134" s="62"/>
    </row>
    <row r="135" spans="2:7" ht="24.75" customHeight="1" x14ac:dyDescent="0.25">
      <c r="B135" s="483"/>
      <c r="D135" s="62"/>
      <c r="E135" s="62"/>
      <c r="F135" s="488"/>
      <c r="G135" s="62"/>
    </row>
    <row r="136" spans="2:7" ht="24.75" customHeight="1" x14ac:dyDescent="0.25">
      <c r="B136" s="483" t="s">
        <v>651</v>
      </c>
      <c r="D136" s="62"/>
      <c r="E136" s="62"/>
      <c r="F136" s="488"/>
      <c r="G136" s="62"/>
    </row>
    <row r="137" spans="2:7" ht="24.75" hidden="1" customHeight="1" x14ac:dyDescent="0.25">
      <c r="B137" s="483"/>
      <c r="D137" s="62"/>
      <c r="E137" s="62"/>
      <c r="F137" s="488"/>
      <c r="G137" s="62"/>
    </row>
    <row r="138" spans="2:7" hidden="1" x14ac:dyDescent="0.25">
      <c r="B138" s="492" t="s">
        <v>501</v>
      </c>
      <c r="D138" s="60" t="s">
        <v>502</v>
      </c>
      <c r="E138" s="62"/>
      <c r="F138" s="62"/>
      <c r="G138" s="62"/>
    </row>
    <row r="139" spans="2:7" ht="14.25" hidden="1" customHeight="1" x14ac:dyDescent="0.25"/>
    <row r="140" spans="2:7" hidden="1" x14ac:dyDescent="0.25">
      <c r="C140" s="60" t="s">
        <v>503</v>
      </c>
    </row>
    <row r="141" spans="2:7" hidden="1" x14ac:dyDescent="0.25"/>
    <row r="142" spans="2:7" hidden="1" x14ac:dyDescent="0.25">
      <c r="D142" s="60" t="s">
        <v>480</v>
      </c>
      <c r="G142" s="484" t="s">
        <v>504</v>
      </c>
    </row>
    <row r="143" spans="2:7" hidden="1" x14ac:dyDescent="0.25"/>
    <row r="144" spans="2:7" hidden="1" x14ac:dyDescent="0.25">
      <c r="D144" s="60" t="s">
        <v>481</v>
      </c>
      <c r="G144" s="484" t="s">
        <v>505</v>
      </c>
    </row>
    <row r="145" spans="3:9" hidden="1" x14ac:dyDescent="0.25"/>
    <row r="146" spans="3:9" hidden="1" x14ac:dyDescent="0.25">
      <c r="C146" s="60" t="s">
        <v>506</v>
      </c>
    </row>
    <row r="147" spans="3:9" hidden="1" x14ac:dyDescent="0.25"/>
    <row r="148" spans="3:9" hidden="1" x14ac:dyDescent="0.25">
      <c r="C148" s="60" t="s">
        <v>461</v>
      </c>
      <c r="F148" s="60" t="s">
        <v>507</v>
      </c>
      <c r="G148" s="60" t="s">
        <v>508</v>
      </c>
      <c r="I148" s="63">
        <f>100%*2500*11/30</f>
        <v>916.66666666666663</v>
      </c>
    </row>
    <row r="149" spans="3:9" hidden="1" x14ac:dyDescent="0.25">
      <c r="C149" s="60" t="s">
        <v>482</v>
      </c>
      <c r="G149" s="60" t="s">
        <v>509</v>
      </c>
      <c r="I149" s="63">
        <f>-9*'[1]MATRICE 1'!G29</f>
        <v>-413.09999999999997</v>
      </c>
    </row>
    <row r="150" spans="3:9" hidden="1" x14ac:dyDescent="0.25">
      <c r="C150" s="60" t="s">
        <v>461</v>
      </c>
    </row>
    <row r="151" spans="3:9" hidden="1" x14ac:dyDescent="0.25"/>
    <row r="152" spans="3:9" hidden="1" x14ac:dyDescent="0.25">
      <c r="C152" s="483" t="s">
        <v>510</v>
      </c>
    </row>
    <row r="153" spans="3:9" hidden="1" x14ac:dyDescent="0.25">
      <c r="H153" s="613" t="s">
        <v>511</v>
      </c>
    </row>
    <row r="154" spans="3:9" hidden="1" x14ac:dyDescent="0.25">
      <c r="D154" s="60" t="s">
        <v>461</v>
      </c>
      <c r="F154" s="63">
        <f>I148</f>
        <v>916.66666666666663</v>
      </c>
      <c r="H154" s="613"/>
    </row>
    <row r="155" spans="3:9" hidden="1" x14ac:dyDescent="0.25">
      <c r="D155" s="60" t="s">
        <v>23</v>
      </c>
      <c r="F155" s="486">
        <f>I149</f>
        <v>-413.09999999999997</v>
      </c>
      <c r="H155" s="613"/>
    </row>
    <row r="156" spans="3:9" hidden="1" x14ac:dyDescent="0.25">
      <c r="C156" s="483"/>
      <c r="H156" s="613"/>
    </row>
    <row r="157" spans="3:9" hidden="1" x14ac:dyDescent="0.25">
      <c r="H157" s="613"/>
    </row>
    <row r="158" spans="3:9" hidden="1" x14ac:dyDescent="0.25">
      <c r="F158" s="65"/>
      <c r="H158" s="64"/>
    </row>
    <row r="159" spans="3:9" hidden="1" x14ac:dyDescent="0.25">
      <c r="C159" s="483" t="s">
        <v>486</v>
      </c>
      <c r="F159" s="65"/>
      <c r="H159" s="64"/>
    </row>
    <row r="160" spans="3:9" hidden="1" x14ac:dyDescent="0.25">
      <c r="F160" s="65"/>
      <c r="H160" s="64"/>
    </row>
    <row r="161" spans="3:8" hidden="1" x14ac:dyDescent="0.25">
      <c r="D161" s="60" t="s">
        <v>487</v>
      </c>
      <c r="F161" s="65"/>
      <c r="H161" s="64"/>
    </row>
    <row r="162" spans="3:8" hidden="1" x14ac:dyDescent="0.25">
      <c r="D162" s="60" t="s">
        <v>512</v>
      </c>
      <c r="F162" s="65"/>
      <c r="H162" s="64"/>
    </row>
    <row r="163" spans="3:8" hidden="1" x14ac:dyDescent="0.25">
      <c r="F163" s="65"/>
      <c r="H163" s="64"/>
    </row>
    <row r="164" spans="3:8" hidden="1" x14ac:dyDescent="0.25">
      <c r="D164" s="60" t="s">
        <v>513</v>
      </c>
      <c r="F164" s="486">
        <f>E4*30/31</f>
        <v>3875.8064516129034</v>
      </c>
      <c r="H164" s="64"/>
    </row>
    <row r="165" spans="3:8" hidden="1" x14ac:dyDescent="0.25">
      <c r="F165" s="65"/>
      <c r="H165" s="64"/>
    </row>
    <row r="166" spans="3:8" hidden="1" x14ac:dyDescent="0.25">
      <c r="C166" s="483" t="s">
        <v>13</v>
      </c>
      <c r="F166" s="65"/>
      <c r="H166" s="64"/>
    </row>
    <row r="167" spans="3:8" hidden="1" x14ac:dyDescent="0.25">
      <c r="C167" s="483"/>
      <c r="F167" s="65"/>
      <c r="H167" s="64"/>
    </row>
    <row r="168" spans="3:8" hidden="1" x14ac:dyDescent="0.25">
      <c r="C168" s="483"/>
      <c r="D168" s="60" t="s">
        <v>514</v>
      </c>
      <c r="F168" s="486">
        <f>151.67 * '[1]BP 2 202N NON SUBROG '!J26/2500</f>
        <v>124.44133491428572</v>
      </c>
      <c r="H168" s="64"/>
    </row>
    <row r="169" spans="3:8" hidden="1" x14ac:dyDescent="0.25">
      <c r="C169" s="483"/>
      <c r="F169" s="65"/>
      <c r="H169" s="64"/>
    </row>
    <row r="170" spans="3:8" hidden="1" x14ac:dyDescent="0.25">
      <c r="C170" s="483" t="s">
        <v>515</v>
      </c>
      <c r="F170" s="65"/>
      <c r="H170" s="64"/>
    </row>
    <row r="171" spans="3:8" hidden="1" x14ac:dyDescent="0.25">
      <c r="C171" s="483"/>
      <c r="F171" s="65"/>
      <c r="H171" s="64"/>
    </row>
    <row r="172" spans="3:8" hidden="1" x14ac:dyDescent="0.25">
      <c r="D172" s="60" t="s">
        <v>516</v>
      </c>
      <c r="F172" s="486">
        <f>1.6*E5*F168</f>
        <v>2393.255753071543</v>
      </c>
      <c r="H172" s="64"/>
    </row>
    <row r="173" spans="3:8" hidden="1" x14ac:dyDescent="0.25">
      <c r="F173" s="65"/>
      <c r="H173" s="64"/>
    </row>
    <row r="174" spans="3:8" hidden="1" x14ac:dyDescent="0.25">
      <c r="D174" s="608" t="s">
        <v>517</v>
      </c>
      <c r="E174" s="608"/>
      <c r="F174" s="608"/>
      <c r="G174" s="608"/>
      <c r="H174" s="64"/>
    </row>
    <row r="175" spans="3:8" hidden="1" x14ac:dyDescent="0.25">
      <c r="D175" s="62"/>
      <c r="E175" s="62"/>
      <c r="F175" s="62"/>
      <c r="G175" s="62"/>
      <c r="H175" s="64"/>
    </row>
    <row r="176" spans="3:8" hidden="1" x14ac:dyDescent="0.25">
      <c r="C176" s="483" t="s">
        <v>488</v>
      </c>
      <c r="D176" s="62"/>
      <c r="E176" s="62"/>
      <c r="F176" s="62"/>
      <c r="G176" s="62"/>
      <c r="H176" s="64"/>
    </row>
    <row r="177" spans="1:8" hidden="1" x14ac:dyDescent="0.25">
      <c r="C177" s="483"/>
      <c r="D177" s="62"/>
      <c r="E177" s="62"/>
      <c r="F177" s="62"/>
      <c r="G177" s="62"/>
      <c r="H177" s="64"/>
    </row>
    <row r="178" spans="1:8" hidden="1" x14ac:dyDescent="0.25">
      <c r="C178" s="483"/>
      <c r="D178" s="62" t="s">
        <v>518</v>
      </c>
      <c r="E178" s="62"/>
      <c r="F178" s="447">
        <f>3.5*E5*F168</f>
        <v>5235.2469598440002</v>
      </c>
      <c r="G178" s="62"/>
      <c r="H178" s="64"/>
    </row>
    <row r="179" spans="1:8" hidden="1" x14ac:dyDescent="0.25"/>
    <row r="180" spans="1:8" hidden="1" x14ac:dyDescent="0.25">
      <c r="B180" s="60" t="s">
        <v>519</v>
      </c>
      <c r="C180" s="62"/>
      <c r="D180" s="62"/>
      <c r="E180" s="62"/>
    </row>
    <row r="181" spans="1:8" hidden="1" x14ac:dyDescent="0.25">
      <c r="B181" s="60" t="s">
        <v>520</v>
      </c>
    </row>
    <row r="182" spans="1:8" hidden="1" x14ac:dyDescent="0.25">
      <c r="B182" s="62"/>
      <c r="C182" s="62"/>
      <c r="D182" s="62"/>
      <c r="E182" s="62"/>
    </row>
    <row r="183" spans="1:8" hidden="1" x14ac:dyDescent="0.25">
      <c r="A183" s="606" t="s">
        <v>62</v>
      </c>
      <c r="B183" s="606"/>
      <c r="C183" s="607"/>
      <c r="D183" s="455">
        <f>'[1]BP 2 202N SUBROG '!I76</f>
        <v>1657.4757142857143</v>
      </c>
      <c r="E183" s="62"/>
    </row>
    <row r="184" spans="1:8" hidden="1" x14ac:dyDescent="0.25">
      <c r="C184" s="62" t="s">
        <v>490</v>
      </c>
      <c r="D184" s="455">
        <f>F111</f>
        <v>375.02</v>
      </c>
      <c r="E184" s="62" t="s">
        <v>492</v>
      </c>
      <c r="G184" s="60" t="s">
        <v>521</v>
      </c>
    </row>
    <row r="185" spans="1:8" hidden="1" x14ac:dyDescent="0.25">
      <c r="B185" s="62"/>
      <c r="C185" s="62" t="s">
        <v>494</v>
      </c>
      <c r="D185" s="455">
        <f>F112</f>
        <v>-14.25076</v>
      </c>
      <c r="E185" s="60" t="s">
        <v>493</v>
      </c>
      <c r="G185" s="60" t="s">
        <v>497</v>
      </c>
    </row>
    <row r="186" spans="1:8" hidden="1" x14ac:dyDescent="0.25">
      <c r="B186" s="62"/>
      <c r="C186" s="62"/>
      <c r="D186" s="491">
        <f>SUM(D183:D185)</f>
        <v>2018.2449542857144</v>
      </c>
      <c r="E186" s="60" t="s">
        <v>496</v>
      </c>
    </row>
    <row r="187" spans="1:8" hidden="1" x14ac:dyDescent="0.25">
      <c r="B187" s="62"/>
      <c r="C187" s="62"/>
      <c r="D187" s="488"/>
      <c r="E187" s="62"/>
    </row>
    <row r="188" spans="1:8" hidden="1" x14ac:dyDescent="0.25">
      <c r="B188" s="60" t="s">
        <v>499</v>
      </c>
      <c r="C188" s="62"/>
      <c r="D188" s="488"/>
      <c r="E188" s="62"/>
    </row>
    <row r="189" spans="1:8" hidden="1" x14ac:dyDescent="0.25"/>
    <row r="190" spans="1:8" hidden="1" x14ac:dyDescent="0.25">
      <c r="B190" s="492" t="s">
        <v>522</v>
      </c>
      <c r="D190" s="493" t="s">
        <v>523</v>
      </c>
      <c r="E190" s="493"/>
      <c r="F190" s="493"/>
    </row>
    <row r="191" spans="1:8" hidden="1" x14ac:dyDescent="0.25">
      <c r="F191" s="65"/>
    </row>
    <row r="192" spans="1:8" hidden="1" x14ac:dyDescent="0.25">
      <c r="C192" s="60" t="s">
        <v>524</v>
      </c>
    </row>
    <row r="193" spans="3:10" hidden="1" x14ac:dyDescent="0.25">
      <c r="F193" s="65"/>
    </row>
    <row r="194" spans="3:10" hidden="1" x14ac:dyDescent="0.25">
      <c r="D194" s="494"/>
      <c r="E194" s="60" t="s">
        <v>525</v>
      </c>
      <c r="F194" s="65"/>
      <c r="J194" s="63">
        <f>I47</f>
        <v>909.09090909090912</v>
      </c>
    </row>
    <row r="195" spans="3:10" hidden="1" x14ac:dyDescent="0.25">
      <c r="J195" s="63">
        <f>-9*'[1]MATRICE 1'!G29</f>
        <v>-413.09999999999997</v>
      </c>
    </row>
    <row r="196" spans="3:10" hidden="1" x14ac:dyDescent="0.25">
      <c r="F196" s="60" t="s">
        <v>480</v>
      </c>
      <c r="H196" s="484" t="s">
        <v>526</v>
      </c>
    </row>
    <row r="197" spans="3:10" hidden="1" x14ac:dyDescent="0.25"/>
    <row r="198" spans="3:10" hidden="1" x14ac:dyDescent="0.25">
      <c r="F198" s="60" t="s">
        <v>481</v>
      </c>
      <c r="H198" s="484" t="s">
        <v>527</v>
      </c>
    </row>
    <row r="199" spans="3:10" hidden="1" x14ac:dyDescent="0.25"/>
    <row r="200" spans="3:10" hidden="1" x14ac:dyDescent="0.25">
      <c r="H200" s="609" t="s">
        <v>511</v>
      </c>
    </row>
    <row r="201" spans="3:10" hidden="1" x14ac:dyDescent="0.25">
      <c r="C201" s="60" t="s">
        <v>528</v>
      </c>
      <c r="H201" s="609"/>
    </row>
    <row r="202" spans="3:10" hidden="1" x14ac:dyDescent="0.25">
      <c r="H202" s="609"/>
    </row>
    <row r="203" spans="3:10" hidden="1" x14ac:dyDescent="0.25">
      <c r="C203" s="60" t="s">
        <v>461</v>
      </c>
      <c r="F203" s="60" t="s">
        <v>507</v>
      </c>
      <c r="G203" s="60" t="s">
        <v>529</v>
      </c>
      <c r="H203" s="609"/>
      <c r="I203" s="486">
        <f>J194</f>
        <v>909.09090909090912</v>
      </c>
    </row>
    <row r="204" spans="3:10" hidden="1" x14ac:dyDescent="0.25">
      <c r="C204" s="60" t="s">
        <v>482</v>
      </c>
      <c r="G204" s="60" t="s">
        <v>530</v>
      </c>
      <c r="H204" s="609"/>
      <c r="I204" s="486">
        <f>J195</f>
        <v>-413.09999999999997</v>
      </c>
    </row>
    <row r="205" spans="3:10" hidden="1" x14ac:dyDescent="0.25">
      <c r="C205" s="60" t="s">
        <v>531</v>
      </c>
      <c r="H205" s="609"/>
    </row>
    <row r="206" spans="3:10" hidden="1" x14ac:dyDescent="0.25">
      <c r="H206" s="609"/>
    </row>
    <row r="207" spans="3:10" hidden="1" x14ac:dyDescent="0.25">
      <c r="H207" s="64"/>
    </row>
    <row r="208" spans="3:10" hidden="1" x14ac:dyDescent="0.25">
      <c r="C208" s="483" t="s">
        <v>483</v>
      </c>
      <c r="H208" s="64"/>
    </row>
    <row r="209" spans="3:8" hidden="1" x14ac:dyDescent="0.25">
      <c r="C209" s="483"/>
      <c r="H209" s="64"/>
    </row>
    <row r="210" spans="3:8" hidden="1" x14ac:dyDescent="0.25">
      <c r="D210" s="60" t="s">
        <v>461</v>
      </c>
      <c r="F210" s="63">
        <f>J194</f>
        <v>909.09090909090912</v>
      </c>
      <c r="H210" s="64"/>
    </row>
    <row r="211" spans="3:8" hidden="1" x14ac:dyDescent="0.25">
      <c r="D211" s="60" t="s">
        <v>23</v>
      </c>
      <c r="F211" s="486">
        <f>J195</f>
        <v>-413.09999999999997</v>
      </c>
      <c r="H211" s="64"/>
    </row>
    <row r="212" spans="3:8" hidden="1" x14ac:dyDescent="0.25">
      <c r="F212" s="65"/>
      <c r="H212" s="64"/>
    </row>
    <row r="213" spans="3:8" hidden="1" x14ac:dyDescent="0.25">
      <c r="C213" s="483" t="s">
        <v>485</v>
      </c>
      <c r="H213" s="64"/>
    </row>
    <row r="214" spans="3:8" hidden="1" x14ac:dyDescent="0.25">
      <c r="H214" s="64"/>
    </row>
    <row r="215" spans="3:8" hidden="1" x14ac:dyDescent="0.25">
      <c r="D215" s="60" t="s">
        <v>461</v>
      </c>
      <c r="F215" s="63">
        <f>F210</f>
        <v>909.09090909090912</v>
      </c>
      <c r="H215" s="64"/>
    </row>
    <row r="216" spans="3:8" hidden="1" x14ac:dyDescent="0.25">
      <c r="D216" s="60" t="s">
        <v>23</v>
      </c>
      <c r="F216" s="486">
        <f>F211</f>
        <v>-413.09999999999997</v>
      </c>
      <c r="H216" s="64"/>
    </row>
    <row r="217" spans="3:8" hidden="1" x14ac:dyDescent="0.25">
      <c r="F217" s="65"/>
      <c r="H217" s="64"/>
    </row>
    <row r="218" spans="3:8" hidden="1" x14ac:dyDescent="0.25">
      <c r="C218" s="483" t="s">
        <v>486</v>
      </c>
      <c r="F218" s="65"/>
      <c r="H218" s="64"/>
    </row>
    <row r="219" spans="3:8" hidden="1" x14ac:dyDescent="0.25">
      <c r="F219" s="65"/>
      <c r="H219" s="64"/>
    </row>
    <row r="220" spans="3:8" hidden="1" x14ac:dyDescent="0.25">
      <c r="D220" s="60" t="s">
        <v>532</v>
      </c>
      <c r="F220" s="65"/>
      <c r="G220" s="382">
        <f>E4</f>
        <v>4005</v>
      </c>
      <c r="H220" s="64"/>
    </row>
    <row r="221" spans="3:8" hidden="1" x14ac:dyDescent="0.25">
      <c r="F221" s="65"/>
      <c r="H221" s="64"/>
    </row>
    <row r="222" spans="3:8" hidden="1" x14ac:dyDescent="0.25">
      <c r="C222" s="483" t="s">
        <v>13</v>
      </c>
      <c r="F222" s="65"/>
      <c r="H222" s="64"/>
    </row>
    <row r="223" spans="3:8" hidden="1" x14ac:dyDescent="0.25">
      <c r="C223" s="483"/>
      <c r="F223" s="65"/>
      <c r="H223" s="64"/>
    </row>
    <row r="224" spans="3:8" hidden="1" x14ac:dyDescent="0.25">
      <c r="C224" s="483"/>
      <c r="D224" s="495" t="s">
        <v>533</v>
      </c>
      <c r="E224" s="495"/>
      <c r="F224" s="487">
        <f>151.67 *'[1]BP 3 202N SUBROG '!J26/ 2500</f>
        <v>126.60804919999998</v>
      </c>
      <c r="H224" s="64"/>
    </row>
    <row r="225" spans="2:8" hidden="1" x14ac:dyDescent="0.25">
      <c r="C225" s="483"/>
      <c r="F225" s="65"/>
      <c r="H225" s="64"/>
    </row>
    <row r="226" spans="2:8" hidden="1" x14ac:dyDescent="0.25">
      <c r="C226" s="483" t="s">
        <v>534</v>
      </c>
      <c r="F226" s="65"/>
      <c r="H226" s="64"/>
    </row>
    <row r="227" spans="2:8" hidden="1" x14ac:dyDescent="0.25">
      <c r="C227" s="483"/>
      <c r="F227" s="65"/>
    </row>
    <row r="228" spans="2:8" hidden="1" x14ac:dyDescent="0.25">
      <c r="D228" s="495" t="s">
        <v>535</v>
      </c>
      <c r="E228" s="495"/>
      <c r="F228" s="487">
        <f>1.6*E5*F224</f>
        <v>2434.9260022143994</v>
      </c>
    </row>
    <row r="229" spans="2:8" hidden="1" x14ac:dyDescent="0.25">
      <c r="F229" s="65"/>
    </row>
    <row r="230" spans="2:8" hidden="1" x14ac:dyDescent="0.25">
      <c r="D230" s="608" t="s">
        <v>536</v>
      </c>
      <c r="E230" s="608"/>
      <c r="F230" s="608"/>
      <c r="G230" s="608"/>
    </row>
    <row r="231" spans="2:8" hidden="1" x14ac:dyDescent="0.25">
      <c r="D231" s="62"/>
      <c r="E231" s="62"/>
      <c r="F231" s="62"/>
      <c r="G231" s="62"/>
    </row>
    <row r="232" spans="2:8" hidden="1" x14ac:dyDescent="0.25">
      <c r="C232" s="483" t="s">
        <v>488</v>
      </c>
      <c r="D232" s="62"/>
      <c r="E232" s="62"/>
      <c r="F232" s="62"/>
      <c r="G232" s="62"/>
    </row>
    <row r="233" spans="2:8" hidden="1" x14ac:dyDescent="0.25">
      <c r="C233" s="483"/>
      <c r="D233" s="62"/>
      <c r="E233" s="62"/>
      <c r="F233" s="62"/>
      <c r="G233" s="62"/>
    </row>
    <row r="234" spans="2:8" hidden="1" x14ac:dyDescent="0.25">
      <c r="C234" s="483"/>
      <c r="D234" s="496" t="s">
        <v>537</v>
      </c>
      <c r="E234" s="496"/>
      <c r="F234" s="497">
        <f>3.5*E5*F224</f>
        <v>5326.400629843999</v>
      </c>
      <c r="G234" s="62"/>
    </row>
    <row r="235" spans="2:8" hidden="1" x14ac:dyDescent="0.25"/>
    <row r="236" spans="2:8" hidden="1" x14ac:dyDescent="0.25">
      <c r="B236" s="62"/>
      <c r="C236" s="60" t="s">
        <v>538</v>
      </c>
      <c r="D236" s="62"/>
      <c r="E236" s="62"/>
    </row>
    <row r="237" spans="2:8" hidden="1" x14ac:dyDescent="0.25">
      <c r="B237" s="62"/>
      <c r="C237" s="62"/>
      <c r="D237" s="62"/>
      <c r="E237" s="62"/>
    </row>
    <row r="238" spans="2:8" hidden="1" x14ac:dyDescent="0.25">
      <c r="C238" s="606" t="s">
        <v>62</v>
      </c>
      <c r="D238" s="606"/>
      <c r="E238" s="455">
        <f>'[1]BP 3 202N SUBROG '!I76</f>
        <v>1702.23</v>
      </c>
    </row>
    <row r="239" spans="2:8" hidden="1" x14ac:dyDescent="0.25">
      <c r="B239" s="62"/>
      <c r="D239" s="291" t="s">
        <v>490</v>
      </c>
      <c r="E239" s="455">
        <f>F111</f>
        <v>375.02</v>
      </c>
      <c r="F239" s="62" t="s">
        <v>492</v>
      </c>
      <c r="H239" s="60" t="s">
        <v>539</v>
      </c>
    </row>
    <row r="240" spans="2:8" hidden="1" x14ac:dyDescent="0.25">
      <c r="B240" s="62"/>
      <c r="C240" s="606" t="s">
        <v>493</v>
      </c>
      <c r="D240" s="607"/>
      <c r="E240" s="455">
        <f>F112</f>
        <v>-14.25076</v>
      </c>
      <c r="F240" s="62" t="s">
        <v>494</v>
      </c>
      <c r="H240" s="60" t="s">
        <v>497</v>
      </c>
    </row>
    <row r="241" spans="2:6" hidden="1" x14ac:dyDescent="0.25">
      <c r="B241" s="62"/>
      <c r="C241" s="606" t="s">
        <v>496</v>
      </c>
      <c r="D241" s="607"/>
      <c r="E241" s="491">
        <f>SUM(E238:E240)</f>
        <v>2062.9992400000001</v>
      </c>
    </row>
    <row r="242" spans="2:6" hidden="1" x14ac:dyDescent="0.25">
      <c r="B242" s="62"/>
      <c r="C242" s="62"/>
      <c r="D242" s="488"/>
      <c r="E242" s="62"/>
    </row>
    <row r="243" spans="2:6" hidden="1" x14ac:dyDescent="0.25">
      <c r="B243" s="62"/>
      <c r="C243" s="62"/>
      <c r="D243" s="488"/>
      <c r="E243" s="62"/>
    </row>
    <row r="244" spans="2:6" hidden="1" x14ac:dyDescent="0.25">
      <c r="C244" s="60" t="s">
        <v>499</v>
      </c>
    </row>
    <row r="245" spans="2:6" hidden="1" x14ac:dyDescent="0.25"/>
    <row r="246" spans="2:6" hidden="1" x14ac:dyDescent="0.25"/>
    <row r="247" spans="2:6" hidden="1" x14ac:dyDescent="0.25"/>
    <row r="248" spans="2:6" ht="15" hidden="1" customHeight="1" x14ac:dyDescent="0.25"/>
    <row r="249" spans="2:6" ht="15" hidden="1" customHeight="1" x14ac:dyDescent="0.25">
      <c r="B249" s="483" t="s">
        <v>540</v>
      </c>
    </row>
    <row r="250" spans="2:6" ht="15" hidden="1" customHeight="1" x14ac:dyDescent="0.25"/>
    <row r="251" spans="2:6" ht="15" hidden="1" customHeight="1" x14ac:dyDescent="0.25">
      <c r="C251" s="60" t="s">
        <v>541</v>
      </c>
    </row>
    <row r="252" spans="2:6" ht="15" hidden="1" customHeight="1" x14ac:dyDescent="0.25"/>
    <row r="253" spans="2:6" hidden="1" x14ac:dyDescent="0.25">
      <c r="D253" s="60" t="s">
        <v>542</v>
      </c>
      <c r="F253" s="498" t="s">
        <v>543</v>
      </c>
    </row>
    <row r="254" spans="2:6" ht="18" hidden="1" customHeight="1" x14ac:dyDescent="0.25"/>
    <row r="255" spans="2:6" ht="32.25" hidden="1" customHeight="1" x14ac:dyDescent="0.25">
      <c r="D255" s="609" t="s">
        <v>544</v>
      </c>
      <c r="E255" s="609"/>
      <c r="F255" s="499">
        <v>1921.76</v>
      </c>
    </row>
    <row r="256" spans="2:6" ht="20.25" hidden="1" customHeight="1" x14ac:dyDescent="0.25"/>
    <row r="257" spans="2:8" ht="19.5" hidden="1" customHeight="1" x14ac:dyDescent="0.25"/>
    <row r="258" spans="2:8" hidden="1" x14ac:dyDescent="0.25">
      <c r="D258" s="60" t="s">
        <v>545</v>
      </c>
    </row>
    <row r="259" spans="2:8" hidden="1" x14ac:dyDescent="0.25"/>
    <row r="260" spans="2:8" hidden="1" x14ac:dyDescent="0.25">
      <c r="D260" s="60" t="s">
        <v>546</v>
      </c>
    </row>
    <row r="261" spans="2:8" hidden="1" x14ac:dyDescent="0.25"/>
    <row r="262" spans="2:8" hidden="1" x14ac:dyDescent="0.25">
      <c r="E262" s="60" t="s">
        <v>547</v>
      </c>
    </row>
    <row r="263" spans="2:8" hidden="1" x14ac:dyDescent="0.25">
      <c r="B263" s="483"/>
    </row>
    <row r="264" spans="2:8" hidden="1" x14ac:dyDescent="0.25">
      <c r="E264" s="60" t="s">
        <v>548</v>
      </c>
    </row>
    <row r="265" spans="2:8" hidden="1" x14ac:dyDescent="0.25"/>
    <row r="266" spans="2:8" hidden="1" x14ac:dyDescent="0.25">
      <c r="F266" s="60" t="s">
        <v>549</v>
      </c>
    </row>
    <row r="267" spans="2:8" hidden="1" x14ac:dyDescent="0.25"/>
    <row r="268" spans="2:8" hidden="1" x14ac:dyDescent="0.25">
      <c r="G268" s="60" t="s">
        <v>550</v>
      </c>
    </row>
    <row r="269" spans="2:8" hidden="1" x14ac:dyDescent="0.25"/>
    <row r="270" spans="2:8" hidden="1" x14ac:dyDescent="0.25">
      <c r="G270" s="65"/>
      <c r="H270" s="60" t="s">
        <v>551</v>
      </c>
    </row>
    <row r="271" spans="2:8" hidden="1" x14ac:dyDescent="0.25">
      <c r="B271" s="483"/>
    </row>
    <row r="272" spans="2:8" hidden="1" x14ac:dyDescent="0.25">
      <c r="E272" s="60" t="s">
        <v>552</v>
      </c>
    </row>
    <row r="273" spans="1:9" hidden="1" x14ac:dyDescent="0.25"/>
    <row r="274" spans="1:9" hidden="1" x14ac:dyDescent="0.25">
      <c r="F274" s="60" t="s">
        <v>553</v>
      </c>
      <c r="H274" s="452">
        <f>F255</f>
        <v>1921.76</v>
      </c>
    </row>
    <row r="275" spans="1:9" hidden="1" x14ac:dyDescent="0.25"/>
    <row r="276" spans="1:9" hidden="1" x14ac:dyDescent="0.25">
      <c r="F276" s="60" t="s">
        <v>554</v>
      </c>
    </row>
    <row r="277" spans="1:9" hidden="1" x14ac:dyDescent="0.25"/>
    <row r="278" spans="1:9" hidden="1" x14ac:dyDescent="0.25">
      <c r="G278" s="60" t="s">
        <v>555</v>
      </c>
    </row>
    <row r="279" spans="1:9" hidden="1" x14ac:dyDescent="0.25">
      <c r="G279" s="60" t="s">
        <v>556</v>
      </c>
    </row>
    <row r="280" spans="1:9" hidden="1" x14ac:dyDescent="0.25"/>
    <row r="281" spans="1:9" hidden="1" x14ac:dyDescent="0.25">
      <c r="F281" s="60" t="s">
        <v>557</v>
      </c>
      <c r="I281" s="65"/>
    </row>
    <row r="282" spans="1:9" hidden="1" x14ac:dyDescent="0.25"/>
    <row r="283" spans="1:9" hidden="1" x14ac:dyDescent="0.25">
      <c r="B283" s="60" t="s">
        <v>538</v>
      </c>
      <c r="C283" s="62"/>
      <c r="D283" s="62"/>
      <c r="E283" s="62"/>
    </row>
    <row r="284" spans="1:9" hidden="1" x14ac:dyDescent="0.25">
      <c r="B284" s="62"/>
      <c r="C284" s="62"/>
      <c r="D284" s="62"/>
      <c r="E284" s="62"/>
    </row>
    <row r="285" spans="1:9" hidden="1" x14ac:dyDescent="0.25">
      <c r="A285" s="606" t="s">
        <v>62</v>
      </c>
      <c r="B285" s="606"/>
      <c r="C285" s="607"/>
      <c r="D285" s="455">
        <f>'[1]BP 4 202N MAINTIEN DU NET '!I76</f>
        <v>1634.3008696015806</v>
      </c>
      <c r="E285" s="62"/>
    </row>
    <row r="286" spans="1:9" hidden="1" x14ac:dyDescent="0.25">
      <c r="B286" s="62"/>
      <c r="C286" s="62" t="s">
        <v>490</v>
      </c>
      <c r="D286" s="455">
        <f>E239</f>
        <v>375.02</v>
      </c>
      <c r="E286" s="62" t="s">
        <v>492</v>
      </c>
      <c r="G286" s="60" t="s">
        <v>498</v>
      </c>
    </row>
    <row r="287" spans="1:9" hidden="1" x14ac:dyDescent="0.25">
      <c r="B287" s="606" t="s">
        <v>493</v>
      </c>
      <c r="C287" s="607"/>
      <c r="D287" s="455">
        <f>E240</f>
        <v>-14.25076</v>
      </c>
      <c r="E287" s="62" t="s">
        <v>494</v>
      </c>
      <c r="G287" s="60" t="s">
        <v>497</v>
      </c>
    </row>
    <row r="288" spans="1:9" hidden="1" x14ac:dyDescent="0.25">
      <c r="B288" s="62"/>
      <c r="C288" s="62"/>
      <c r="D288" s="491">
        <f>SUM(D285:D287)</f>
        <v>1995.0701096015807</v>
      </c>
      <c r="E288" s="60" t="s">
        <v>496</v>
      </c>
    </row>
    <row r="289" spans="2:14" hidden="1" x14ac:dyDescent="0.25">
      <c r="B289" s="62"/>
      <c r="C289" s="62"/>
      <c r="D289" s="488"/>
      <c r="E289" s="62"/>
    </row>
    <row r="290" spans="2:14" hidden="1" x14ac:dyDescent="0.25">
      <c r="B290" s="60" t="s">
        <v>499</v>
      </c>
      <c r="C290" s="62"/>
      <c r="D290" s="488"/>
      <c r="E290" s="62"/>
    </row>
    <row r="291" spans="2:14" hidden="1" x14ac:dyDescent="0.25">
      <c r="F291" s="65"/>
    </row>
    <row r="292" spans="2:14" hidden="1" x14ac:dyDescent="0.25">
      <c r="D292" s="60" t="s">
        <v>13</v>
      </c>
      <c r="E292" s="60" t="s">
        <v>558</v>
      </c>
      <c r="F292" s="65"/>
      <c r="G292" s="63">
        <f>151.67* '[1]BP 4 202N MAINTIEN DU NET '!J26/2500</f>
        <v>122.70229611698869</v>
      </c>
    </row>
    <row r="293" spans="2:14" hidden="1" x14ac:dyDescent="0.25">
      <c r="F293" s="65"/>
    </row>
    <row r="294" spans="2:14" hidden="1" x14ac:dyDescent="0.25">
      <c r="F294" s="65"/>
    </row>
    <row r="295" spans="2:14" hidden="1" x14ac:dyDescent="0.25"/>
    <row r="296" spans="2:14" hidden="1" x14ac:dyDescent="0.25"/>
    <row r="297" spans="2:14" hidden="1" x14ac:dyDescent="0.25">
      <c r="B297" s="492" t="s">
        <v>559</v>
      </c>
    </row>
    <row r="298" spans="2:14" hidden="1" x14ac:dyDescent="0.25"/>
    <row r="299" spans="2:14" hidden="1" x14ac:dyDescent="0.25">
      <c r="B299" s="60" t="s">
        <v>560</v>
      </c>
    </row>
    <row r="300" spans="2:14" hidden="1" x14ac:dyDescent="0.25"/>
    <row r="301" spans="2:14" hidden="1" x14ac:dyDescent="0.25">
      <c r="B301" s="500" t="s">
        <v>561</v>
      </c>
      <c r="C301" s="500"/>
      <c r="D301" s="500"/>
      <c r="E301" s="500"/>
      <c r="F301" s="500"/>
      <c r="G301" s="500"/>
      <c r="H301" s="500"/>
      <c r="I301" s="500"/>
      <c r="J301" s="500"/>
      <c r="K301" s="500"/>
      <c r="L301" s="500"/>
      <c r="M301" s="500"/>
      <c r="N301" s="500"/>
    </row>
    <row r="302" spans="2:14" hidden="1" x14ac:dyDescent="0.25">
      <c r="B302" s="500" t="s">
        <v>562</v>
      </c>
      <c r="C302" s="500"/>
      <c r="D302" s="500"/>
      <c r="E302" s="500"/>
      <c r="F302" s="500"/>
      <c r="G302" s="500"/>
      <c r="H302" s="500"/>
      <c r="I302" s="500"/>
      <c r="J302" s="500"/>
      <c r="K302" s="500"/>
      <c r="L302" s="500"/>
      <c r="M302" s="500"/>
      <c r="N302" s="500"/>
    </row>
    <row r="303" spans="2:14" hidden="1" x14ac:dyDescent="0.25">
      <c r="B303" s="500" t="s">
        <v>563</v>
      </c>
      <c r="C303" s="500"/>
      <c r="D303" s="500"/>
      <c r="E303" s="500"/>
      <c r="F303" s="500"/>
      <c r="G303" s="500"/>
      <c r="H303" s="500"/>
      <c r="I303" s="500"/>
      <c r="J303" s="500"/>
      <c r="K303" s="500"/>
      <c r="L303" s="500"/>
      <c r="M303" s="500"/>
      <c r="N303" s="500"/>
    </row>
    <row r="304" spans="2:14" hidden="1" x14ac:dyDescent="0.25">
      <c r="B304" s="500" t="s">
        <v>564</v>
      </c>
      <c r="C304" s="500"/>
      <c r="D304" s="500"/>
      <c r="E304" s="500"/>
      <c r="F304" s="500"/>
      <c r="G304" s="500"/>
      <c r="H304" s="500"/>
      <c r="I304" s="500"/>
      <c r="J304" s="500"/>
      <c r="K304" s="500"/>
      <c r="L304" s="500"/>
      <c r="M304" s="500"/>
      <c r="N304" s="500"/>
    </row>
    <row r="305" spans="2:14" hidden="1" x14ac:dyDescent="0.25">
      <c r="B305" s="500" t="s">
        <v>565</v>
      </c>
      <c r="C305" s="500"/>
      <c r="D305" s="500"/>
      <c r="E305" s="500"/>
      <c r="F305" s="500"/>
      <c r="G305" s="500"/>
      <c r="H305" s="500"/>
      <c r="I305" s="500"/>
      <c r="J305" s="500"/>
      <c r="K305" s="500"/>
      <c r="L305" s="500"/>
      <c r="M305" s="500"/>
      <c r="N305" s="500"/>
    </row>
    <row r="306" spans="2:14" hidden="1" x14ac:dyDescent="0.25">
      <c r="B306" s="500" t="s">
        <v>566</v>
      </c>
      <c r="C306" s="500"/>
      <c r="D306" s="500"/>
      <c r="E306" s="500"/>
      <c r="F306" s="500"/>
      <c r="G306" s="500"/>
      <c r="H306" s="500"/>
      <c r="I306" s="500"/>
      <c r="J306" s="500"/>
      <c r="K306" s="500"/>
      <c r="L306" s="500"/>
      <c r="M306" s="500"/>
      <c r="N306" s="500"/>
    </row>
    <row r="307" spans="2:14" hidden="1" x14ac:dyDescent="0.25">
      <c r="B307" s="500"/>
      <c r="C307" s="500"/>
      <c r="D307" s="500"/>
      <c r="E307" s="500"/>
      <c r="F307" s="500"/>
      <c r="G307" s="500"/>
      <c r="H307" s="500"/>
      <c r="I307" s="500"/>
      <c r="J307" s="500"/>
      <c r="K307" s="500"/>
      <c r="L307" s="500"/>
      <c r="M307" s="500"/>
      <c r="N307" s="500"/>
    </row>
    <row r="308" spans="2:14" hidden="1" x14ac:dyDescent="0.25">
      <c r="B308" s="500" t="s">
        <v>567</v>
      </c>
      <c r="C308" s="500"/>
      <c r="D308" s="500"/>
      <c r="E308" s="500"/>
      <c r="F308" s="500"/>
      <c r="G308" s="500"/>
      <c r="H308" s="500"/>
      <c r="I308" s="500"/>
      <c r="J308" s="500"/>
      <c r="K308" s="500"/>
      <c r="L308" s="500"/>
      <c r="M308" s="500"/>
      <c r="N308" s="500"/>
    </row>
    <row r="309" spans="2:14" hidden="1" x14ac:dyDescent="0.25">
      <c r="B309" s="500" t="s">
        <v>568</v>
      </c>
      <c r="C309" s="500"/>
      <c r="D309" s="500"/>
      <c r="E309" s="500"/>
      <c r="F309" s="500"/>
      <c r="G309" s="500"/>
      <c r="H309" s="500"/>
      <c r="I309" s="500"/>
      <c r="J309" s="500"/>
      <c r="K309" s="500"/>
      <c r="L309" s="500"/>
      <c r="M309" s="500"/>
      <c r="N309" s="500"/>
    </row>
    <row r="310" spans="2:14" hidden="1" x14ac:dyDescent="0.25">
      <c r="B310" s="64"/>
      <c r="C310" s="501"/>
      <c r="D310" s="501"/>
      <c r="E310" s="501"/>
      <c r="F310" s="501"/>
      <c r="G310" s="501"/>
    </row>
    <row r="311" spans="2:14" ht="23.25" hidden="1" customHeight="1" x14ac:dyDescent="0.25">
      <c r="B311" s="610" t="s">
        <v>569</v>
      </c>
      <c r="C311" s="611"/>
      <c r="D311" s="611"/>
      <c r="E311" s="611"/>
      <c r="F311" s="611"/>
      <c r="G311" s="611"/>
      <c r="H311" s="611"/>
      <c r="I311" s="612"/>
    </row>
    <row r="312" spans="2:14" ht="23.25" hidden="1" customHeight="1" x14ac:dyDescent="0.25">
      <c r="B312" s="64"/>
      <c r="C312" s="64"/>
      <c r="D312" s="64"/>
      <c r="E312" s="64"/>
      <c r="F312" s="64"/>
      <c r="G312" s="64"/>
      <c r="H312" s="64"/>
      <c r="I312" s="64"/>
    </row>
    <row r="313" spans="2:14" hidden="1" x14ac:dyDescent="0.25">
      <c r="G313" s="65"/>
    </row>
    <row r="314" spans="2:14" hidden="1" x14ac:dyDescent="0.25">
      <c r="B314" s="382" t="s">
        <v>457</v>
      </c>
      <c r="C314" s="382">
        <v>1</v>
      </c>
    </row>
    <row r="315" spans="2:14" hidden="1" x14ac:dyDescent="0.25">
      <c r="B315" s="382" t="s">
        <v>458</v>
      </c>
      <c r="C315" s="382">
        <v>2</v>
      </c>
    </row>
    <row r="316" spans="2:14" hidden="1" x14ac:dyDescent="0.25">
      <c r="B316" s="382" t="s">
        <v>459</v>
      </c>
      <c r="C316" s="382">
        <v>3</v>
      </c>
    </row>
    <row r="317" spans="2:14" hidden="1" x14ac:dyDescent="0.25">
      <c r="B317" s="382" t="s">
        <v>460</v>
      </c>
      <c r="C317" s="382">
        <v>4</v>
      </c>
    </row>
    <row r="318" spans="2:14" hidden="1" x14ac:dyDescent="0.25">
      <c r="B318" s="382" t="s">
        <v>454</v>
      </c>
      <c r="C318" s="382">
        <v>5</v>
      </c>
      <c r="D318" s="502">
        <v>12</v>
      </c>
      <c r="E318" s="502">
        <v>19</v>
      </c>
      <c r="F318" s="503">
        <v>26</v>
      </c>
    </row>
    <row r="319" spans="2:14" hidden="1" x14ac:dyDescent="0.25">
      <c r="B319" s="382" t="s">
        <v>455</v>
      </c>
      <c r="C319" s="382">
        <v>6</v>
      </c>
      <c r="D319" s="502">
        <v>13</v>
      </c>
      <c r="E319" s="503">
        <v>20</v>
      </c>
      <c r="F319" s="503">
        <v>27</v>
      </c>
    </row>
    <row r="320" spans="2:14" hidden="1" x14ac:dyDescent="0.25">
      <c r="B320" s="382" t="s">
        <v>456</v>
      </c>
      <c r="C320" s="382">
        <v>7</v>
      </c>
      <c r="D320" s="502">
        <v>14</v>
      </c>
      <c r="E320" s="503">
        <v>21</v>
      </c>
      <c r="F320" s="503">
        <v>28</v>
      </c>
    </row>
    <row r="321" spans="2:9" hidden="1" x14ac:dyDescent="0.25">
      <c r="B321" s="382" t="s">
        <v>457</v>
      </c>
      <c r="C321" s="382">
        <v>8</v>
      </c>
      <c r="D321" s="502">
        <v>15</v>
      </c>
      <c r="E321" s="503">
        <v>22</v>
      </c>
      <c r="F321" s="503">
        <v>29</v>
      </c>
    </row>
    <row r="322" spans="2:9" hidden="1" x14ac:dyDescent="0.25">
      <c r="B322" s="382" t="s">
        <v>458</v>
      </c>
      <c r="C322" s="382">
        <v>9</v>
      </c>
      <c r="D322" s="502">
        <v>16</v>
      </c>
      <c r="E322" s="503">
        <v>23</v>
      </c>
      <c r="F322" s="503">
        <v>30</v>
      </c>
    </row>
    <row r="323" spans="2:9" hidden="1" x14ac:dyDescent="0.25">
      <c r="B323" s="382" t="s">
        <v>459</v>
      </c>
      <c r="C323" s="382">
        <v>10</v>
      </c>
      <c r="D323" s="502">
        <v>17</v>
      </c>
      <c r="E323" s="503">
        <v>24</v>
      </c>
      <c r="F323" s="503">
        <v>31</v>
      </c>
      <c r="I323" s="65"/>
    </row>
    <row r="324" spans="2:9" hidden="1" x14ac:dyDescent="0.25">
      <c r="B324" s="382" t="s">
        <v>460</v>
      </c>
      <c r="C324" s="382">
        <v>11</v>
      </c>
      <c r="D324" s="502">
        <v>18</v>
      </c>
      <c r="E324" s="503">
        <v>25</v>
      </c>
    </row>
    <row r="325" spans="2:9" hidden="1" x14ac:dyDescent="0.25">
      <c r="I325" s="65"/>
    </row>
    <row r="326" spans="2:9" hidden="1" x14ac:dyDescent="0.25">
      <c r="B326" s="60" t="s">
        <v>570</v>
      </c>
      <c r="D326" s="504">
        <v>2500</v>
      </c>
      <c r="I326" s="65"/>
    </row>
    <row r="327" spans="2:9" hidden="1" x14ac:dyDescent="0.25"/>
    <row r="328" spans="2:9" hidden="1" x14ac:dyDescent="0.25">
      <c r="B328" s="60" t="s">
        <v>571</v>
      </c>
    </row>
    <row r="329" spans="2:9" hidden="1" x14ac:dyDescent="0.25"/>
    <row r="330" spans="2:9" hidden="1" x14ac:dyDescent="0.25">
      <c r="B330" s="60" t="s">
        <v>572</v>
      </c>
      <c r="E330" s="63">
        <f>2500*56/147</f>
        <v>952.38095238095241</v>
      </c>
    </row>
    <row r="331" spans="2:9" hidden="1" x14ac:dyDescent="0.25"/>
    <row r="332" spans="2:9" hidden="1" x14ac:dyDescent="0.25"/>
    <row r="333" spans="2:9" hidden="1" x14ac:dyDescent="0.25">
      <c r="B333" s="60" t="s">
        <v>573</v>
      </c>
    </row>
    <row r="334" spans="2:9" hidden="1" x14ac:dyDescent="0.25"/>
    <row r="335" spans="2:9" hidden="1" x14ac:dyDescent="0.25">
      <c r="D335" s="60" t="s">
        <v>302</v>
      </c>
      <c r="F335" s="485">
        <v>2500</v>
      </c>
    </row>
    <row r="336" spans="2:9" hidden="1" x14ac:dyDescent="0.25">
      <c r="D336" s="60" t="s">
        <v>574</v>
      </c>
      <c r="F336" s="485">
        <f>'[1]SIMUL 1 HYP 5 '!J13</f>
        <v>-952.38095238095241</v>
      </c>
    </row>
    <row r="337" spans="2:7" hidden="1" x14ac:dyDescent="0.25">
      <c r="D337" s="60" t="s">
        <v>461</v>
      </c>
      <c r="F337" s="485">
        <f>'[1]SIMUL 1 HYP 5 '!J14</f>
        <v>595.23809523809518</v>
      </c>
    </row>
    <row r="338" spans="2:7" hidden="1" x14ac:dyDescent="0.25">
      <c r="F338" s="485">
        <f>SUM(F335:F337)</f>
        <v>2142.8571428571431</v>
      </c>
    </row>
    <row r="339" spans="2:7" hidden="1" x14ac:dyDescent="0.25">
      <c r="B339" s="60" t="s">
        <v>575</v>
      </c>
    </row>
    <row r="340" spans="2:7" hidden="1" x14ac:dyDescent="0.25"/>
    <row r="341" spans="2:7" hidden="1" x14ac:dyDescent="0.25">
      <c r="D341" s="60" t="s">
        <v>576</v>
      </c>
      <c r="F341" s="505">
        <f>'[1]SIMUL 1 HYP 5 '!I67</f>
        <v>1647.18</v>
      </c>
      <c r="G341" s="60" t="s">
        <v>577</v>
      </c>
    </row>
    <row r="342" spans="2:7" hidden="1" x14ac:dyDescent="0.25"/>
    <row r="343" spans="2:7" hidden="1" x14ac:dyDescent="0.25">
      <c r="B343" s="60" t="s">
        <v>578</v>
      </c>
    </row>
    <row r="344" spans="2:7" hidden="1" x14ac:dyDescent="0.25"/>
    <row r="345" spans="2:7" hidden="1" x14ac:dyDescent="0.25">
      <c r="D345" s="60" t="s">
        <v>302</v>
      </c>
      <c r="G345" s="506">
        <f>'[1]SIMUL 1 HYP 5 '!J12</f>
        <v>2500</v>
      </c>
    </row>
    <row r="346" spans="2:7" hidden="1" x14ac:dyDescent="0.25">
      <c r="D346" s="60" t="s">
        <v>579</v>
      </c>
      <c r="G346" s="506">
        <f>'[1]SIMUL 1 HYP 5 '!J13</f>
        <v>-952.38095238095241</v>
      </c>
    </row>
    <row r="347" spans="2:7" hidden="1" x14ac:dyDescent="0.25">
      <c r="D347" s="60" t="s">
        <v>461</v>
      </c>
      <c r="F347" s="60" t="s">
        <v>580</v>
      </c>
      <c r="G347" s="455">
        <f>2500*35/147</f>
        <v>595.23809523809518</v>
      </c>
    </row>
    <row r="348" spans="2:7" hidden="1" x14ac:dyDescent="0.25">
      <c r="C348" s="60" t="s">
        <v>581</v>
      </c>
      <c r="F348" s="60" t="s">
        <v>582</v>
      </c>
      <c r="G348" s="308">
        <f>- 9*43.71</f>
        <v>-393.39</v>
      </c>
    </row>
    <row r="349" spans="2:7" hidden="1" x14ac:dyDescent="0.25">
      <c r="D349" s="60" t="s">
        <v>583</v>
      </c>
      <c r="G349" s="308"/>
    </row>
    <row r="350" spans="2:7" hidden="1" x14ac:dyDescent="0.25">
      <c r="D350" s="60" t="s">
        <v>584</v>
      </c>
      <c r="G350" s="506">
        <f>SUM(G345:G349)</f>
        <v>1749.4671428571432</v>
      </c>
    </row>
    <row r="351" spans="2:7" hidden="1" x14ac:dyDescent="0.25"/>
    <row r="352" spans="2:7" hidden="1" x14ac:dyDescent="0.25">
      <c r="B352" s="60" t="s">
        <v>585</v>
      </c>
      <c r="E352" s="505">
        <f>'[1]SIMUL 2 HYP 5 '!I67</f>
        <v>1711.8271428571431</v>
      </c>
      <c r="F352" s="60" t="s">
        <v>586</v>
      </c>
    </row>
    <row r="353" spans="2:9" hidden="1" x14ac:dyDescent="0.25"/>
    <row r="354" spans="2:9" hidden="1" x14ac:dyDescent="0.25">
      <c r="B354" s="60" t="s">
        <v>587</v>
      </c>
      <c r="E354" s="505">
        <f>F341</f>
        <v>1647.18</v>
      </c>
    </row>
    <row r="355" spans="2:9" hidden="1" x14ac:dyDescent="0.25"/>
    <row r="356" spans="2:9" hidden="1" x14ac:dyDescent="0.25">
      <c r="B356" s="60" t="s">
        <v>588</v>
      </c>
      <c r="I356" s="507">
        <f>E354</f>
        <v>1647.18</v>
      </c>
    </row>
    <row r="357" spans="2:9" hidden="1" x14ac:dyDescent="0.25"/>
    <row r="358" spans="2:9" hidden="1" x14ac:dyDescent="0.25">
      <c r="B358" s="60" t="s">
        <v>589</v>
      </c>
    </row>
    <row r="359" spans="2:9" hidden="1" x14ac:dyDescent="0.25"/>
    <row r="360" spans="2:9" hidden="1" x14ac:dyDescent="0.25">
      <c r="C360" s="60" t="s">
        <v>549</v>
      </c>
    </row>
    <row r="361" spans="2:9" hidden="1" x14ac:dyDescent="0.25">
      <c r="D361" s="60" t="s">
        <v>590</v>
      </c>
    </row>
    <row r="362" spans="2:9" hidden="1" x14ac:dyDescent="0.25"/>
    <row r="363" spans="2:9" hidden="1" x14ac:dyDescent="0.25">
      <c r="E363" s="60" t="s">
        <v>551</v>
      </c>
    </row>
    <row r="364" spans="2:9" hidden="1" x14ac:dyDescent="0.25"/>
    <row r="365" spans="2:9" hidden="1" x14ac:dyDescent="0.25">
      <c r="F365" s="60" t="s">
        <v>591</v>
      </c>
      <c r="G365" s="489" t="s">
        <v>592</v>
      </c>
      <c r="H365" s="60" t="s">
        <v>593</v>
      </c>
    </row>
    <row r="366" spans="2:9" hidden="1" x14ac:dyDescent="0.25">
      <c r="F366" s="60" t="s">
        <v>594</v>
      </c>
      <c r="G366" s="508">
        <f>E354</f>
        <v>1647.18</v>
      </c>
    </row>
    <row r="367" spans="2:9" hidden="1" x14ac:dyDescent="0.25">
      <c r="F367" s="60" t="s">
        <v>595</v>
      </c>
      <c r="G367" s="489" t="s">
        <v>596</v>
      </c>
      <c r="H367" s="60" t="s">
        <v>583</v>
      </c>
    </row>
    <row r="368" spans="2:9" hidden="1" x14ac:dyDescent="0.25"/>
    <row r="369" spans="2:7" hidden="1" x14ac:dyDescent="0.25">
      <c r="C369" s="60" t="s">
        <v>597</v>
      </c>
    </row>
    <row r="370" spans="2:7" ht="15.75" hidden="1" x14ac:dyDescent="0.25">
      <c r="G370" s="509"/>
    </row>
    <row r="371" spans="2:7" hidden="1" x14ac:dyDescent="0.25">
      <c r="C371" s="60" t="s">
        <v>394</v>
      </c>
      <c r="D371" s="60">
        <f>3377*(31-3)/31</f>
        <v>3050.1935483870966</v>
      </c>
    </row>
    <row r="372" spans="2:7" hidden="1" x14ac:dyDescent="0.25"/>
    <row r="373" spans="2:7" hidden="1" x14ac:dyDescent="0.25">
      <c r="C373" s="60" t="s">
        <v>598</v>
      </c>
    </row>
    <row r="374" spans="2:7" hidden="1" x14ac:dyDescent="0.25">
      <c r="F374" s="493"/>
    </row>
    <row r="375" spans="2:7" hidden="1" x14ac:dyDescent="0.25"/>
    <row r="376" spans="2:7" hidden="1" x14ac:dyDescent="0.25"/>
    <row r="377" spans="2:7" hidden="1" x14ac:dyDescent="0.25"/>
    <row r="378" spans="2:7" hidden="1" x14ac:dyDescent="0.25"/>
    <row r="379" spans="2:7" hidden="1" x14ac:dyDescent="0.25"/>
    <row r="380" spans="2:7" hidden="1" x14ac:dyDescent="0.25">
      <c r="E380" s="452"/>
    </row>
    <row r="381" spans="2:7" hidden="1" x14ac:dyDescent="0.25"/>
    <row r="382" spans="2:7" hidden="1" x14ac:dyDescent="0.25"/>
    <row r="383" spans="2:7" x14ac:dyDescent="0.25">
      <c r="B383" s="60" t="s">
        <v>652</v>
      </c>
    </row>
    <row r="385" spans="3:5" x14ac:dyDescent="0.25">
      <c r="C385" s="60" t="s">
        <v>593</v>
      </c>
    </row>
    <row r="386" spans="3:5" x14ac:dyDescent="0.25">
      <c r="C386" s="60" t="s">
        <v>62</v>
      </c>
    </row>
    <row r="387" spans="3:5" x14ac:dyDescent="0.25">
      <c r="C387" s="60" t="s">
        <v>633</v>
      </c>
    </row>
    <row r="388" spans="3:5" x14ac:dyDescent="0.25">
      <c r="C388" s="60" t="s">
        <v>634</v>
      </c>
    </row>
    <row r="389" spans="3:5" x14ac:dyDescent="0.25">
      <c r="C389" s="60" t="s">
        <v>637</v>
      </c>
    </row>
    <row r="390" spans="3:5" x14ac:dyDescent="0.25">
      <c r="C390" s="60" t="s">
        <v>643</v>
      </c>
    </row>
    <row r="391" spans="3:5" x14ac:dyDescent="0.25">
      <c r="C391" s="60" t="s">
        <v>644</v>
      </c>
    </row>
    <row r="392" spans="3:5" x14ac:dyDescent="0.25">
      <c r="C392" s="60" t="s">
        <v>645</v>
      </c>
    </row>
    <row r="395" spans="3:5" x14ac:dyDescent="0.25">
      <c r="C395" t="s">
        <v>683</v>
      </c>
    </row>
    <row r="396" spans="3:5" x14ac:dyDescent="0.25">
      <c r="D396" s="308" t="s">
        <v>684</v>
      </c>
      <c r="E396" s="308" t="s">
        <v>685</v>
      </c>
    </row>
    <row r="397" spans="3:5" x14ac:dyDescent="0.25">
      <c r="C397" s="60" t="s">
        <v>686</v>
      </c>
      <c r="D397" s="452">
        <v>1636.7055614285714</v>
      </c>
      <c r="E397" s="452">
        <v>1636.7055614285714</v>
      </c>
    </row>
    <row r="398" spans="3:5" x14ac:dyDescent="0.25">
      <c r="C398" s="60" t="s">
        <v>687</v>
      </c>
      <c r="D398" s="452">
        <v>-380.57000000000005</v>
      </c>
      <c r="E398" s="452">
        <v>-364.20000000000005</v>
      </c>
    </row>
    <row r="399" spans="3:5" x14ac:dyDescent="0.25">
      <c r="E399" s="452">
        <v>-16.37</v>
      </c>
    </row>
    <row r="400" spans="3:5" x14ac:dyDescent="0.25">
      <c r="C400" s="60" t="s">
        <v>688</v>
      </c>
      <c r="D400" s="452">
        <v>-78</v>
      </c>
      <c r="E400" s="60">
        <v>-78</v>
      </c>
    </row>
    <row r="401" spans="3:6" x14ac:dyDescent="0.25">
      <c r="C401" s="60" t="s">
        <v>689</v>
      </c>
      <c r="D401" s="452">
        <v>43.2</v>
      </c>
      <c r="E401" s="504">
        <v>43.2</v>
      </c>
    </row>
    <row r="402" spans="3:6" x14ac:dyDescent="0.25">
      <c r="C402" s="554" t="s">
        <v>593</v>
      </c>
      <c r="D402" s="552">
        <v>1221.3355614285713</v>
      </c>
      <c r="E402" s="552">
        <v>1221.3355614285715</v>
      </c>
    </row>
    <row r="404" spans="3:6" x14ac:dyDescent="0.25">
      <c r="D404" s="308" t="s">
        <v>684</v>
      </c>
      <c r="E404" s="308" t="s">
        <v>685</v>
      </c>
    </row>
    <row r="405" spans="3:6" x14ac:dyDescent="0.25">
      <c r="C405" s="60" t="s">
        <v>686</v>
      </c>
      <c r="D405" s="452">
        <v>1636.7055614285714</v>
      </c>
      <c r="E405" s="452">
        <v>1636.7055614285714</v>
      </c>
    </row>
    <row r="406" spans="3:6" x14ac:dyDescent="0.25">
      <c r="C406" s="60" t="s">
        <v>687</v>
      </c>
      <c r="D406" s="452">
        <v>-380.57000000000005</v>
      </c>
      <c r="E406" s="452">
        <v>-364.20000000000005</v>
      </c>
    </row>
    <row r="407" spans="3:6" x14ac:dyDescent="0.25">
      <c r="E407" s="452">
        <v>-16.37</v>
      </c>
    </row>
    <row r="408" spans="3:6" x14ac:dyDescent="0.25">
      <c r="C408" s="60" t="s">
        <v>690</v>
      </c>
      <c r="D408" s="452">
        <v>48.53</v>
      </c>
      <c r="E408" s="452">
        <v>48.53</v>
      </c>
      <c r="F408" s="60" t="s">
        <v>691</v>
      </c>
    </row>
    <row r="409" spans="3:6" x14ac:dyDescent="0.25">
      <c r="C409" s="60" t="s">
        <v>692</v>
      </c>
      <c r="D409" s="452">
        <v>32.729999999999997</v>
      </c>
      <c r="E409" s="504">
        <v>32.729999999999997</v>
      </c>
    </row>
    <row r="410" spans="3:6" x14ac:dyDescent="0.25">
      <c r="C410" s="554" t="s">
        <v>62</v>
      </c>
      <c r="D410" s="552">
        <v>1337.3955614285712</v>
      </c>
      <c r="E410" s="552">
        <v>1337.3955614285715</v>
      </c>
    </row>
    <row r="411" spans="3:6" x14ac:dyDescent="0.25">
      <c r="D411" s="452"/>
      <c r="E411" s="452"/>
    </row>
    <row r="412" spans="3:6" x14ac:dyDescent="0.25">
      <c r="D412" s="452"/>
      <c r="E412" s="452"/>
    </row>
    <row r="413" spans="3:6" x14ac:dyDescent="0.25">
      <c r="C413" s="554" t="s">
        <v>693</v>
      </c>
      <c r="D413" s="552">
        <v>1337.3955614285712</v>
      </c>
      <c r="E413" s="552">
        <v>1337.3955614285715</v>
      </c>
      <c r="F413" s="60" t="s">
        <v>485</v>
      </c>
    </row>
    <row r="415" spans="3:6" x14ac:dyDescent="0.25">
      <c r="D415" s="308" t="s">
        <v>684</v>
      </c>
      <c r="E415" s="308" t="s">
        <v>685</v>
      </c>
    </row>
    <row r="416" spans="3:6" x14ac:dyDescent="0.25">
      <c r="D416" s="452">
        <v>1337.3955614285712</v>
      </c>
      <c r="E416" s="452">
        <v>1337.3955614285715</v>
      </c>
    </row>
    <row r="417" spans="3:6" x14ac:dyDescent="0.25">
      <c r="D417" s="451">
        <v>390.2</v>
      </c>
      <c r="E417" s="451">
        <v>390.2</v>
      </c>
      <c r="F417" s="60" t="s">
        <v>491</v>
      </c>
    </row>
    <row r="418" spans="3:6" x14ac:dyDescent="0.25">
      <c r="D418" s="451">
        <v>12.12838</v>
      </c>
      <c r="E418" s="451">
        <v>12.12838</v>
      </c>
      <c r="F418" s="60" t="s">
        <v>694</v>
      </c>
    </row>
    <row r="419" spans="3:6" x14ac:dyDescent="0.25">
      <c r="C419" s="554" t="s">
        <v>633</v>
      </c>
      <c r="D419" s="552">
        <v>1739.7239414285714</v>
      </c>
      <c r="E419" s="552">
        <v>1739.7239414285716</v>
      </c>
      <c r="F419" s="60" t="s">
        <v>483</v>
      </c>
    </row>
    <row r="421" spans="3:6" x14ac:dyDescent="0.25">
      <c r="D421" s="308" t="s">
        <v>695</v>
      </c>
      <c r="E421" s="308" t="s">
        <v>696</v>
      </c>
    </row>
    <row r="422" spans="3:6" x14ac:dyDescent="0.25">
      <c r="C422" s="60" t="s">
        <v>692</v>
      </c>
      <c r="D422" s="452">
        <v>32.729999999999997</v>
      </c>
      <c r="E422" s="452">
        <v>32.729999999999997</v>
      </c>
    </row>
    <row r="423" spans="3:6" x14ac:dyDescent="0.25">
      <c r="C423" s="60" t="s">
        <v>697</v>
      </c>
      <c r="D423" s="452">
        <v>32.729999999999997</v>
      </c>
      <c r="E423" s="504">
        <v>32.729999999999997</v>
      </c>
    </row>
    <row r="424" spans="3:6" x14ac:dyDescent="0.25">
      <c r="C424" s="554" t="s">
        <v>698</v>
      </c>
      <c r="D424" s="552">
        <v>65.459999999999994</v>
      </c>
      <c r="E424" s="552">
        <v>65.459999999999994</v>
      </c>
    </row>
    <row r="426" spans="3:6" x14ac:dyDescent="0.25">
      <c r="D426" s="308" t="s">
        <v>695</v>
      </c>
      <c r="E426" s="308" t="s">
        <v>696</v>
      </c>
    </row>
    <row r="427" spans="3:6" x14ac:dyDescent="0.25">
      <c r="D427" s="60">
        <v>1608.06</v>
      </c>
      <c r="E427" s="452">
        <v>1608.06</v>
      </c>
    </row>
    <row r="428" spans="3:6" x14ac:dyDescent="0.25">
      <c r="C428" s="60" t="s">
        <v>692</v>
      </c>
      <c r="D428" s="452">
        <v>32.729999999999997</v>
      </c>
      <c r="E428" s="452">
        <v>32.729999999999997</v>
      </c>
    </row>
    <row r="429" spans="3:6" x14ac:dyDescent="0.25">
      <c r="C429" s="554" t="s">
        <v>637</v>
      </c>
      <c r="D429" s="553">
        <v>1640.79</v>
      </c>
      <c r="E429" s="553">
        <v>1640.79</v>
      </c>
    </row>
    <row r="431" spans="3:6" x14ac:dyDescent="0.25">
      <c r="D431" s="308" t="s">
        <v>695</v>
      </c>
      <c r="E431" s="308" t="s">
        <v>696</v>
      </c>
    </row>
    <row r="432" spans="3:6" x14ac:dyDescent="0.25">
      <c r="D432" s="506">
        <v>380.57000000000005</v>
      </c>
      <c r="E432" s="506">
        <v>364.20000000000005</v>
      </c>
    </row>
    <row r="433" spans="3:5" x14ac:dyDescent="0.25">
      <c r="E433" s="452">
        <v>16.37</v>
      </c>
    </row>
    <row r="434" spans="3:5" x14ac:dyDescent="0.25">
      <c r="C434" s="554" t="s">
        <v>643</v>
      </c>
      <c r="D434" s="552">
        <v>380.57000000000005</v>
      </c>
      <c r="E434" s="552">
        <v>380.57000000000005</v>
      </c>
    </row>
    <row r="436" spans="3:5" x14ac:dyDescent="0.25">
      <c r="D436" s="308" t="s">
        <v>695</v>
      </c>
      <c r="E436" s="308" t="s">
        <v>696</v>
      </c>
    </row>
    <row r="437" spans="3:5" x14ac:dyDescent="0.25">
      <c r="D437" s="452">
        <v>597.91999999999996</v>
      </c>
      <c r="E437" s="452">
        <v>565.19000000000017</v>
      </c>
    </row>
    <row r="438" spans="3:5" x14ac:dyDescent="0.25">
      <c r="E438" s="452">
        <v>32.729999999999997</v>
      </c>
    </row>
    <row r="439" spans="3:5" x14ac:dyDescent="0.25">
      <c r="C439" s="554" t="s">
        <v>644</v>
      </c>
      <c r="D439" s="552">
        <v>597.91999999999996</v>
      </c>
      <c r="E439" s="552">
        <v>597.92000000000019</v>
      </c>
    </row>
    <row r="441" spans="3:5" x14ac:dyDescent="0.25">
      <c r="D441" s="308" t="s">
        <v>695</v>
      </c>
      <c r="E441" s="308" t="s">
        <v>696</v>
      </c>
    </row>
    <row r="442" spans="3:5" x14ac:dyDescent="0.25">
      <c r="C442" s="553" t="s">
        <v>699</v>
      </c>
      <c r="D442" s="452">
        <v>-115.39</v>
      </c>
      <c r="E442" s="452">
        <v>-115.39</v>
      </c>
    </row>
    <row r="443" spans="3:5" x14ac:dyDescent="0.25">
      <c r="E443" s="452">
        <v>0</v>
      </c>
    </row>
    <row r="444" spans="3:5" x14ac:dyDescent="0.25">
      <c r="C444" s="556" t="s">
        <v>645</v>
      </c>
      <c r="D444" s="552">
        <v>-115.39</v>
      </c>
      <c r="E444" s="552">
        <v>-115.39</v>
      </c>
    </row>
    <row r="445" spans="3:5" x14ac:dyDescent="0.25">
      <c r="E445" s="452"/>
    </row>
    <row r="446" spans="3:5" x14ac:dyDescent="0.25">
      <c r="D446" s="308" t="s">
        <v>695</v>
      </c>
      <c r="E446" s="308" t="s">
        <v>696</v>
      </c>
    </row>
    <row r="447" spans="3:5" x14ac:dyDescent="0.25">
      <c r="D447" s="452">
        <v>115.39</v>
      </c>
      <c r="E447" s="452">
        <v>115.39</v>
      </c>
    </row>
    <row r="448" spans="3:5" x14ac:dyDescent="0.25">
      <c r="D448" s="60">
        <v>98.2</v>
      </c>
      <c r="E448" s="60">
        <v>98.2</v>
      </c>
    </row>
    <row r="449" spans="3:5" x14ac:dyDescent="0.25">
      <c r="D449" s="60">
        <v>29.46</v>
      </c>
      <c r="E449" s="60">
        <v>29.46</v>
      </c>
    </row>
    <row r="450" spans="3:5" x14ac:dyDescent="0.25">
      <c r="C450" s="555" t="s">
        <v>646</v>
      </c>
      <c r="D450" s="552">
        <v>243.05</v>
      </c>
      <c r="E450" s="552">
        <v>243.05</v>
      </c>
    </row>
  </sheetData>
  <mergeCells count="22">
    <mergeCell ref="B1:J1"/>
    <mergeCell ref="H71:H78"/>
    <mergeCell ref="C110:D110"/>
    <mergeCell ref="C125:F134"/>
    <mergeCell ref="H153:H157"/>
    <mergeCell ref="H112:I113"/>
    <mergeCell ref="G94:I94"/>
    <mergeCell ref="G93:I93"/>
    <mergeCell ref="I28:I39"/>
    <mergeCell ref="D54:G54"/>
    <mergeCell ref="J31:J39"/>
    <mergeCell ref="B311:I311"/>
    <mergeCell ref="C241:D241"/>
    <mergeCell ref="D255:E255"/>
    <mergeCell ref="A285:C285"/>
    <mergeCell ref="B287:C287"/>
    <mergeCell ref="C238:D238"/>
    <mergeCell ref="C240:D240"/>
    <mergeCell ref="D174:G174"/>
    <mergeCell ref="A183:C183"/>
    <mergeCell ref="H200:H206"/>
    <mergeCell ref="D230:G230"/>
  </mergeCells>
  <phoneticPr fontId="77" type="noConversion"/>
  <hyperlinks>
    <hyperlink ref="C125" r:id="rId1" display="http://rfpaye.grouperf.com/lien_spad/?base=LEGI&amp;orig=REVUE_RF_FH&amp;code=LEGITEXT000006069577&amp;numero=80%20quinquies&amp;idspad=LEGIARTI000021629283" xr:uid="{F7D79D01-78AF-4CA3-A183-0A44B671DE7B}"/>
  </hyperlinks>
  <printOptions horizontalCentered="1" verticalCentered="1"/>
  <pageMargins left="0.31496062992125984" right="0.11811023622047245" top="0.15748031496062992" bottom="0.35433070866141736" header="0.31496062992125984" footer="0.31496062992125984"/>
  <pageSetup paperSize="9" scale="80" orientation="landscape" horizontalDpi="4294967293" verticalDpi="0" r:id="rId2"/>
  <drawing r:id="rId3"/>
  <legacyDrawing r:id="rId4"/>
  <oleObjects>
    <mc:AlternateContent xmlns:mc="http://schemas.openxmlformats.org/markup-compatibility/2006">
      <mc:Choice Requires="x14">
        <oleObject progId="Word.Document.12" shapeId="99329" r:id="rId5">
          <objectPr defaultSize="0" r:id="rId6">
            <anchor moveWithCells="1">
              <from>
                <xdr:col>2</xdr:col>
                <xdr:colOff>0</xdr:colOff>
                <xdr:row>118</xdr:row>
                <xdr:rowOff>0</xdr:rowOff>
              </from>
              <to>
                <xdr:col>6</xdr:col>
                <xdr:colOff>885825</xdr:colOff>
                <xdr:row>123</xdr:row>
                <xdr:rowOff>0</xdr:rowOff>
              </to>
            </anchor>
          </objectPr>
        </oleObject>
      </mc:Choice>
      <mc:Fallback>
        <oleObject progId="Word.Document.12" shapeId="99329" r:id="rId5"/>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8E78DC-7909-4F7D-8F8A-BCE5A4AD55E7}">
  <dimension ref="A1:M122"/>
  <sheetViews>
    <sheetView topLeftCell="B42" workbookViewId="0">
      <selection activeCell="E48" sqref="E48"/>
    </sheetView>
  </sheetViews>
  <sheetFormatPr baseColWidth="10" defaultColWidth="11.42578125" defaultRowHeight="15.75" x14ac:dyDescent="0.25"/>
  <cols>
    <col min="1" max="1" width="4.85546875" style="27" customWidth="1"/>
    <col min="2" max="2" width="2.42578125" style="27" customWidth="1"/>
    <col min="3" max="3" width="31.5703125" style="27" customWidth="1"/>
    <col min="4" max="4" width="29.5703125" style="27" customWidth="1"/>
    <col min="5" max="5" width="28.5703125" style="27" customWidth="1"/>
    <col min="6" max="6" width="5.140625" style="27" customWidth="1"/>
    <col min="7" max="7" width="33.28515625" style="187" customWidth="1"/>
    <col min="8" max="8" width="18.42578125" style="187" customWidth="1"/>
    <col min="9" max="10" width="11.42578125" style="27" hidden="1" customWidth="1"/>
    <col min="11" max="11" width="19.140625" style="27" hidden="1" customWidth="1"/>
    <col min="12" max="16384" width="11.42578125" style="27"/>
  </cols>
  <sheetData>
    <row r="1" spans="3:13" ht="12.75" customHeight="1" x14ac:dyDescent="0.25"/>
    <row r="2" spans="3:13" x14ac:dyDescent="0.25">
      <c r="C2" s="388" t="s">
        <v>303</v>
      </c>
    </row>
    <row r="3" spans="3:13" ht="12.75" customHeight="1" x14ac:dyDescent="0.25"/>
    <row r="4" spans="3:13" ht="21.75" customHeight="1" x14ac:dyDescent="0.25">
      <c r="C4" s="389" t="s">
        <v>304</v>
      </c>
      <c r="D4" s="428"/>
      <c r="E4" s="428"/>
      <c r="F4" s="428"/>
      <c r="G4" s="637" t="s">
        <v>305</v>
      </c>
      <c r="H4" s="637"/>
    </row>
    <row r="5" spans="3:13" ht="21.75" customHeight="1" x14ac:dyDescent="0.25">
      <c r="C5" s="390" t="s">
        <v>306</v>
      </c>
      <c r="G5" s="638" t="s">
        <v>307</v>
      </c>
      <c r="H5" s="638"/>
    </row>
    <row r="6" spans="3:13" ht="21.75" customHeight="1" x14ac:dyDescent="0.25">
      <c r="C6" s="390" t="s">
        <v>308</v>
      </c>
      <c r="G6" s="639">
        <v>34464426500029</v>
      </c>
      <c r="H6" s="639"/>
    </row>
    <row r="7" spans="3:13" ht="21.75" customHeight="1" x14ac:dyDescent="0.25">
      <c r="C7" s="390" t="s">
        <v>309</v>
      </c>
      <c r="G7" s="637" t="s">
        <v>310</v>
      </c>
      <c r="H7" s="637"/>
    </row>
    <row r="8" spans="3:13" ht="51.75" customHeight="1" x14ac:dyDescent="0.25">
      <c r="C8" s="390" t="s">
        <v>311</v>
      </c>
      <c r="G8" s="632" t="s">
        <v>292</v>
      </c>
      <c r="H8" s="632"/>
    </row>
    <row r="9" spans="3:13" x14ac:dyDescent="0.25">
      <c r="C9" s="391" t="s">
        <v>312</v>
      </c>
      <c r="D9" s="429"/>
      <c r="E9" s="429"/>
      <c r="F9" s="429"/>
      <c r="G9" s="636">
        <v>50</v>
      </c>
      <c r="H9" s="636"/>
    </row>
    <row r="10" spans="3:13" x14ac:dyDescent="0.25">
      <c r="C10" s="627"/>
      <c r="D10" s="627"/>
      <c r="E10" s="627"/>
      <c r="F10" s="627"/>
      <c r="G10" s="627"/>
      <c r="H10" s="627"/>
    </row>
    <row r="11" spans="3:13" ht="28.5" customHeight="1" x14ac:dyDescent="0.25">
      <c r="C11" s="392"/>
      <c r="D11" s="393"/>
      <c r="E11" s="629" t="s">
        <v>60</v>
      </c>
      <c r="F11" s="629"/>
      <c r="G11" s="394" t="s">
        <v>85</v>
      </c>
      <c r="H11" s="394" t="s">
        <v>86</v>
      </c>
    </row>
    <row r="12" spans="3:13" ht="20.25" customHeight="1" x14ac:dyDescent="0.25">
      <c r="C12" s="628" t="s">
        <v>383</v>
      </c>
      <c r="D12" s="628"/>
      <c r="E12" s="630"/>
      <c r="F12" s="631"/>
      <c r="G12" s="396">
        <v>0.01</v>
      </c>
      <c r="H12" s="396">
        <v>0.02</v>
      </c>
      <c r="I12" s="397"/>
      <c r="J12" s="397"/>
      <c r="K12" s="397"/>
      <c r="L12" s="397"/>
      <c r="M12" s="397"/>
    </row>
    <row r="13" spans="3:13" ht="20.25" customHeight="1" x14ac:dyDescent="0.25">
      <c r="C13" s="628" t="s">
        <v>384</v>
      </c>
      <c r="D13" s="628"/>
      <c r="E13" s="628"/>
      <c r="F13" s="628"/>
      <c r="G13" s="396">
        <v>0.01</v>
      </c>
      <c r="H13" s="396">
        <v>0.02</v>
      </c>
      <c r="I13" s="397"/>
      <c r="J13" s="397"/>
      <c r="K13" s="397"/>
      <c r="L13" s="397"/>
      <c r="M13" s="397"/>
    </row>
    <row r="14" spans="3:13" ht="20.25" hidden="1" customHeight="1" x14ac:dyDescent="0.25">
      <c r="C14" s="628"/>
      <c r="D14" s="628"/>
      <c r="E14" s="628"/>
      <c r="F14" s="628"/>
      <c r="G14" s="396"/>
      <c r="H14" s="396"/>
      <c r="I14" s="397"/>
      <c r="J14" s="397"/>
      <c r="K14" s="397"/>
      <c r="L14" s="397"/>
      <c r="M14" s="397"/>
    </row>
    <row r="15" spans="3:13" ht="20.25" customHeight="1" x14ac:dyDescent="0.25">
      <c r="C15" s="628" t="s">
        <v>198</v>
      </c>
      <c r="D15" s="628"/>
      <c r="E15" s="628" t="s">
        <v>313</v>
      </c>
      <c r="F15" s="628"/>
      <c r="G15" s="519">
        <f>G12</f>
        <v>0.01</v>
      </c>
      <c r="H15" s="519">
        <f>H12</f>
        <v>0.02</v>
      </c>
      <c r="I15" s="397"/>
      <c r="J15" s="397"/>
      <c r="K15" s="397"/>
      <c r="L15" s="397"/>
      <c r="M15" s="397"/>
    </row>
    <row r="16" spans="3:13" ht="20.25" customHeight="1" x14ac:dyDescent="0.25">
      <c r="C16" s="628" t="s">
        <v>314</v>
      </c>
      <c r="D16" s="628"/>
      <c r="E16" s="628" t="s">
        <v>313</v>
      </c>
      <c r="F16" s="628"/>
      <c r="G16" s="519">
        <f>G13</f>
        <v>0.01</v>
      </c>
      <c r="H16" s="519">
        <v>0.02</v>
      </c>
      <c r="I16" s="397"/>
      <c r="J16" s="397"/>
      <c r="K16" s="397"/>
      <c r="L16" s="397"/>
      <c r="M16" s="397"/>
    </row>
    <row r="17" spans="3:13" ht="20.25" customHeight="1" x14ac:dyDescent="0.25">
      <c r="C17" s="628" t="s">
        <v>391</v>
      </c>
      <c r="D17" s="628"/>
      <c r="E17" s="628"/>
      <c r="F17" s="628"/>
      <c r="G17" s="396"/>
      <c r="H17" s="396"/>
      <c r="I17" s="397"/>
      <c r="J17" s="397"/>
      <c r="K17" s="397"/>
      <c r="L17" s="397"/>
      <c r="M17" s="397"/>
    </row>
    <row r="18" spans="3:13" ht="20.25" customHeight="1" x14ac:dyDescent="0.25">
      <c r="C18" s="628" t="s">
        <v>385</v>
      </c>
      <c r="D18" s="628"/>
      <c r="E18" s="628" t="s">
        <v>386</v>
      </c>
      <c r="F18" s="628"/>
      <c r="G18" s="396"/>
      <c r="H18" s="396">
        <v>1.4999999999999999E-2</v>
      </c>
      <c r="I18" s="397"/>
      <c r="J18" s="397"/>
      <c r="K18" s="397"/>
      <c r="L18" s="397"/>
      <c r="M18" s="397"/>
    </row>
    <row r="19" spans="3:13" ht="20.25" hidden="1" customHeight="1" x14ac:dyDescent="0.25">
      <c r="C19" s="628"/>
      <c r="D19" s="628"/>
      <c r="E19" s="628"/>
      <c r="F19" s="628"/>
      <c r="G19" s="396"/>
      <c r="H19" s="396"/>
      <c r="I19" s="397"/>
      <c r="J19" s="397"/>
      <c r="K19" s="397"/>
      <c r="L19" s="398" t="s">
        <v>315</v>
      </c>
      <c r="M19" s="397"/>
    </row>
    <row r="20" spans="3:13" ht="20.25" hidden="1" customHeight="1" x14ac:dyDescent="0.25">
      <c r="C20" s="628"/>
      <c r="D20" s="628"/>
      <c r="E20" s="630"/>
      <c r="F20" s="631"/>
      <c r="G20" s="396"/>
      <c r="H20" s="396"/>
      <c r="I20" s="397"/>
      <c r="J20" s="397"/>
      <c r="K20" s="397"/>
      <c r="L20" s="398"/>
      <c r="M20" s="397"/>
    </row>
    <row r="21" spans="3:13" ht="20.25" customHeight="1" x14ac:dyDescent="0.25">
      <c r="C21" s="628" t="s">
        <v>316</v>
      </c>
      <c r="D21" s="628"/>
      <c r="E21" s="628" t="s">
        <v>313</v>
      </c>
      <c r="F21" s="628"/>
      <c r="G21" s="396"/>
      <c r="H21" s="519">
        <v>1.7999999999999999E-2</v>
      </c>
      <c r="I21" s="397"/>
      <c r="J21" s="397"/>
      <c r="K21" s="397"/>
      <c r="L21" s="397"/>
      <c r="M21" s="397"/>
    </row>
    <row r="22" spans="3:13" ht="20.25" customHeight="1" x14ac:dyDescent="0.25">
      <c r="C22" s="628" t="s">
        <v>317</v>
      </c>
      <c r="D22" s="628"/>
      <c r="E22" s="628" t="s">
        <v>313</v>
      </c>
      <c r="F22" s="628"/>
      <c r="G22" s="396"/>
      <c r="H22" s="519">
        <f>Enoncé!C26</f>
        <v>3.2000000000000001E-2</v>
      </c>
      <c r="I22" s="397"/>
      <c r="J22" s="397"/>
      <c r="K22" s="397"/>
      <c r="L22" s="397"/>
      <c r="M22" s="397"/>
    </row>
    <row r="23" spans="3:13" ht="16.5" customHeight="1" x14ac:dyDescent="0.25">
      <c r="G23" s="399"/>
      <c r="H23" s="399"/>
      <c r="I23" s="397"/>
      <c r="J23" s="397"/>
      <c r="K23" s="397"/>
      <c r="L23" s="397"/>
      <c r="M23" s="397"/>
    </row>
    <row r="24" spans="3:13" x14ac:dyDescent="0.25">
      <c r="G24" s="399"/>
      <c r="H24" s="399"/>
      <c r="I24" s="397"/>
      <c r="J24" s="397"/>
      <c r="K24" s="397"/>
      <c r="L24" s="400"/>
      <c r="M24" s="397"/>
    </row>
    <row r="25" spans="3:13" x14ac:dyDescent="0.25">
      <c r="G25" s="399"/>
      <c r="H25" s="399"/>
      <c r="I25" s="397"/>
      <c r="J25" s="397"/>
      <c r="K25" s="397"/>
      <c r="L25" s="400"/>
      <c r="M25" s="397"/>
    </row>
    <row r="26" spans="3:13" x14ac:dyDescent="0.25">
      <c r="C26" s="389" t="s">
        <v>318</v>
      </c>
      <c r="D26" s="401"/>
      <c r="E26" s="387" t="s">
        <v>195</v>
      </c>
    </row>
    <row r="27" spans="3:13" x14ac:dyDescent="0.25">
      <c r="C27" s="390" t="s">
        <v>319</v>
      </c>
      <c r="D27" s="402"/>
      <c r="E27" s="51" t="s">
        <v>320</v>
      </c>
    </row>
    <row r="28" spans="3:13" x14ac:dyDescent="0.25">
      <c r="C28" s="390" t="s">
        <v>306</v>
      </c>
      <c r="D28" s="402"/>
      <c r="E28" s="403" t="s">
        <v>321</v>
      </c>
    </row>
    <row r="29" spans="3:13" x14ac:dyDescent="0.25">
      <c r="C29" s="390" t="s">
        <v>322</v>
      </c>
      <c r="D29" s="402"/>
      <c r="E29" s="51" t="s">
        <v>399</v>
      </c>
    </row>
    <row r="30" spans="3:13" x14ac:dyDescent="0.25">
      <c r="C30" s="390" t="s">
        <v>323</v>
      </c>
      <c r="D30" s="402"/>
      <c r="E30" s="51">
        <v>450</v>
      </c>
    </row>
    <row r="31" spans="3:13" x14ac:dyDescent="0.25">
      <c r="C31" s="390" t="s">
        <v>324</v>
      </c>
      <c r="D31" s="402"/>
      <c r="E31" s="395" t="s">
        <v>325</v>
      </c>
    </row>
    <row r="32" spans="3:13" x14ac:dyDescent="0.25">
      <c r="C32" s="390" t="s">
        <v>326</v>
      </c>
      <c r="D32" s="402"/>
      <c r="E32" s="513" t="s">
        <v>221</v>
      </c>
    </row>
    <row r="33" spans="3:6" x14ac:dyDescent="0.25">
      <c r="C33" s="390" t="s">
        <v>327</v>
      </c>
      <c r="D33" s="402"/>
      <c r="E33" s="513">
        <v>2</v>
      </c>
    </row>
    <row r="34" spans="3:6" x14ac:dyDescent="0.25">
      <c r="C34" s="391" t="s">
        <v>387</v>
      </c>
      <c r="D34" s="404"/>
      <c r="E34" s="51"/>
    </row>
    <row r="35" spans="3:6" hidden="1" x14ac:dyDescent="0.25"/>
    <row r="36" spans="3:6" x14ac:dyDescent="0.25">
      <c r="E36" s="397"/>
    </row>
    <row r="37" spans="3:6" ht="24" customHeight="1" x14ac:dyDescent="0.25">
      <c r="C37" s="633" t="s">
        <v>87</v>
      </c>
      <c r="D37" s="634"/>
      <c r="E37" s="387" t="s">
        <v>195</v>
      </c>
      <c r="F37" s="397"/>
    </row>
    <row r="38" spans="3:6" ht="24" customHeight="1" x14ac:dyDescent="0.25">
      <c r="C38" s="389" t="s">
        <v>328</v>
      </c>
      <c r="D38" s="401"/>
      <c r="E38" s="516">
        <v>46082</v>
      </c>
      <c r="F38" s="405"/>
    </row>
    <row r="39" spans="3:6" ht="24" customHeight="1" x14ac:dyDescent="0.25">
      <c r="C39" s="390" t="s">
        <v>329</v>
      </c>
      <c r="D39" s="402"/>
      <c r="E39" s="516">
        <v>46112</v>
      </c>
      <c r="F39" s="405"/>
    </row>
    <row r="40" spans="3:6" ht="24" customHeight="1" x14ac:dyDescent="0.25">
      <c r="C40" s="390" t="s">
        <v>330</v>
      </c>
      <c r="D40" s="402"/>
      <c r="E40" s="516">
        <v>46112</v>
      </c>
      <c r="F40" s="405"/>
    </row>
    <row r="41" spans="3:6" ht="24" customHeight="1" x14ac:dyDescent="0.25">
      <c r="C41" s="390" t="s">
        <v>302</v>
      </c>
      <c r="D41" s="402"/>
      <c r="E41" s="517">
        <v>2500</v>
      </c>
      <c r="F41" s="406"/>
    </row>
    <row r="42" spans="3:6" ht="24" customHeight="1" x14ac:dyDescent="0.25">
      <c r="C42" s="390" t="s">
        <v>301</v>
      </c>
      <c r="D42" s="402"/>
      <c r="E42" s="518">
        <v>151.66999999999999</v>
      </c>
      <c r="F42" s="406"/>
    </row>
    <row r="43" spans="3:6" ht="24" customHeight="1" x14ac:dyDescent="0.25">
      <c r="C43" s="390" t="s">
        <v>290</v>
      </c>
      <c r="D43" s="402"/>
      <c r="E43" s="518">
        <f>+'Correction '!E5</f>
        <v>12.02</v>
      </c>
      <c r="F43" s="406"/>
    </row>
    <row r="44" spans="3:6" ht="24" customHeight="1" x14ac:dyDescent="0.25">
      <c r="C44" s="390" t="s">
        <v>331</v>
      </c>
      <c r="D44" s="402"/>
      <c r="E44" s="518">
        <f>'Correction '!F86</f>
        <v>4005</v>
      </c>
      <c r="F44" s="406"/>
    </row>
    <row r="45" spans="3:6" ht="19.5" customHeight="1" x14ac:dyDescent="0.25">
      <c r="C45" s="390" t="s">
        <v>388</v>
      </c>
      <c r="D45" s="402"/>
      <c r="E45" s="518"/>
      <c r="F45" s="406"/>
    </row>
    <row r="46" spans="3:6" ht="19.5" customHeight="1" x14ac:dyDescent="0.25">
      <c r="C46" s="390" t="s">
        <v>13</v>
      </c>
      <c r="D46" s="402"/>
      <c r="E46" s="518">
        <f>E42*'BP FORMAT JUILLET 2023'!J33/'BP FORMAT JUILLET 2023'!J13</f>
        <v>123.40291447787524</v>
      </c>
      <c r="F46" s="407"/>
    </row>
    <row r="47" spans="3:6" ht="19.5" customHeight="1" x14ac:dyDescent="0.25">
      <c r="C47" s="390" t="s">
        <v>332</v>
      </c>
      <c r="D47" s="402"/>
      <c r="E47" s="518">
        <v>14</v>
      </c>
      <c r="F47" s="407"/>
    </row>
    <row r="48" spans="3:6" ht="19.5" customHeight="1" x14ac:dyDescent="0.25">
      <c r="C48" s="390" t="s">
        <v>333</v>
      </c>
      <c r="D48" s="402"/>
      <c r="E48" s="518">
        <f>Enoncé!C27</f>
        <v>6</v>
      </c>
      <c r="F48" s="408"/>
    </row>
    <row r="49" spans="2:6" ht="19.5" customHeight="1" x14ac:dyDescent="0.25">
      <c r="C49" s="390" t="s">
        <v>334</v>
      </c>
      <c r="D49" s="402"/>
      <c r="E49" s="518">
        <f>Enoncé!E27</f>
        <v>6</v>
      </c>
      <c r="F49" s="408"/>
    </row>
    <row r="50" spans="2:6" ht="19.5" customHeight="1" x14ac:dyDescent="0.25">
      <c r="C50" s="390" t="s">
        <v>335</v>
      </c>
      <c r="D50" s="402"/>
      <c r="E50" s="518">
        <f>'TABLE DES TAUX 2026 '!D66/2</f>
        <v>45.4</v>
      </c>
      <c r="F50" s="408"/>
    </row>
    <row r="51" spans="2:6" ht="19.5" customHeight="1" x14ac:dyDescent="0.25">
      <c r="C51" s="391" t="s">
        <v>389</v>
      </c>
      <c r="D51" s="404"/>
      <c r="E51" s="518"/>
      <c r="F51" s="408"/>
    </row>
    <row r="52" spans="2:6" ht="19.5" hidden="1" customHeight="1" x14ac:dyDescent="0.25">
      <c r="B52" s="388" t="s">
        <v>336</v>
      </c>
      <c r="E52" s="409">
        <v>211</v>
      </c>
    </row>
    <row r="53" spans="2:6" ht="24" hidden="1" customHeight="1" x14ac:dyDescent="0.25"/>
    <row r="54" spans="2:6" ht="24" hidden="1" customHeight="1" x14ac:dyDescent="0.25">
      <c r="C54" s="27" t="s">
        <v>337</v>
      </c>
    </row>
    <row r="55" spans="2:6" ht="24" hidden="1" customHeight="1" x14ac:dyDescent="0.25"/>
    <row r="56" spans="2:6" ht="24" hidden="1" customHeight="1" x14ac:dyDescent="0.25">
      <c r="D56" s="27" t="s">
        <v>338</v>
      </c>
    </row>
    <row r="57" spans="2:6" ht="24" hidden="1" customHeight="1" x14ac:dyDescent="0.25"/>
    <row r="58" spans="2:6" ht="24" hidden="1" customHeight="1" x14ac:dyDescent="0.25">
      <c r="D58" s="27" t="s">
        <v>339</v>
      </c>
    </row>
    <row r="59" spans="2:6" ht="24" hidden="1" customHeight="1" x14ac:dyDescent="0.25"/>
    <row r="60" spans="2:6" ht="24" hidden="1" customHeight="1" x14ac:dyDescent="0.25">
      <c r="C60" s="27" t="s">
        <v>340</v>
      </c>
    </row>
    <row r="61" spans="2:6" ht="24" hidden="1" customHeight="1" x14ac:dyDescent="0.25"/>
    <row r="62" spans="2:6" ht="24" hidden="1" customHeight="1" x14ac:dyDescent="0.25">
      <c r="D62" s="27" t="s">
        <v>341</v>
      </c>
    </row>
    <row r="63" spans="2:6" ht="24" hidden="1" customHeight="1" x14ac:dyDescent="0.25">
      <c r="D63" s="27" t="s">
        <v>342</v>
      </c>
    </row>
    <row r="64" spans="2:6" ht="24" hidden="1" customHeight="1" x14ac:dyDescent="0.25">
      <c r="D64" s="27" t="s">
        <v>343</v>
      </c>
    </row>
    <row r="65" spans="1:11" ht="24" hidden="1" customHeight="1" x14ac:dyDescent="0.25">
      <c r="D65" s="27" t="s">
        <v>344</v>
      </c>
    </row>
    <row r="66" spans="1:11" ht="24" hidden="1" customHeight="1" x14ac:dyDescent="0.25">
      <c r="D66" s="27" t="s">
        <v>345</v>
      </c>
    </row>
    <row r="67" spans="1:11" ht="24" hidden="1" customHeight="1" x14ac:dyDescent="0.25"/>
    <row r="68" spans="1:11" ht="24" hidden="1" customHeight="1" x14ac:dyDescent="0.25">
      <c r="C68" s="27" t="s">
        <v>346</v>
      </c>
    </row>
    <row r="69" spans="1:11" ht="24" hidden="1" customHeight="1" x14ac:dyDescent="0.25">
      <c r="C69" s="27" t="s">
        <v>347</v>
      </c>
    </row>
    <row r="70" spans="1:11" ht="24" hidden="1" customHeight="1" x14ac:dyDescent="0.25"/>
    <row r="71" spans="1:11" ht="24" hidden="1" customHeight="1" x14ac:dyDescent="0.25">
      <c r="D71" s="27" t="s">
        <v>348</v>
      </c>
    </row>
    <row r="72" spans="1:11" ht="24" hidden="1" customHeight="1" x14ac:dyDescent="0.25"/>
    <row r="73" spans="1:11" ht="24" hidden="1" customHeight="1" x14ac:dyDescent="0.25">
      <c r="C73" s="27" t="s">
        <v>349</v>
      </c>
    </row>
    <row r="74" spans="1:11" ht="24" hidden="1" customHeight="1" x14ac:dyDescent="0.25"/>
    <row r="75" spans="1:11" ht="24" hidden="1" customHeight="1" x14ac:dyDescent="0.25">
      <c r="E75" s="395" t="s">
        <v>60</v>
      </c>
      <c r="F75" s="395" t="s">
        <v>350</v>
      </c>
      <c r="G75" s="395" t="s">
        <v>90</v>
      </c>
      <c r="H75" s="395" t="s">
        <v>351</v>
      </c>
      <c r="I75" s="395" t="s">
        <v>84</v>
      </c>
    </row>
    <row r="76" spans="1:11" ht="24" hidden="1" customHeight="1" x14ac:dyDescent="0.25">
      <c r="B76" s="395" t="s">
        <v>352</v>
      </c>
      <c r="C76" s="632" t="s">
        <v>51</v>
      </c>
      <c r="D76" s="632"/>
      <c r="E76" s="410"/>
      <c r="F76" s="411">
        <v>6.8000000000000005E-2</v>
      </c>
      <c r="G76" s="410"/>
      <c r="H76" s="410"/>
      <c r="I76" s="410"/>
      <c r="J76" s="412"/>
      <c r="K76" s="412"/>
    </row>
    <row r="77" spans="1:11" ht="24" hidden="1" customHeight="1" x14ac:dyDescent="0.25">
      <c r="B77" s="395" t="s">
        <v>353</v>
      </c>
      <c r="C77" s="632" t="s">
        <v>52</v>
      </c>
      <c r="D77" s="632"/>
      <c r="E77" s="410"/>
      <c r="F77" s="411">
        <v>6.8000000000000005E-2</v>
      </c>
      <c r="G77" s="410"/>
      <c r="H77" s="410"/>
      <c r="I77" s="410"/>
      <c r="J77" s="412"/>
      <c r="K77" s="412"/>
    </row>
    <row r="78" spans="1:11" ht="24" hidden="1" customHeight="1" x14ac:dyDescent="0.25">
      <c r="B78" s="395" t="s">
        <v>354</v>
      </c>
      <c r="C78" s="632" t="s">
        <v>53</v>
      </c>
      <c r="D78" s="632"/>
      <c r="E78" s="410"/>
      <c r="F78" s="411">
        <v>2.9000000000000001E-2</v>
      </c>
      <c r="G78" s="410"/>
      <c r="H78" s="410"/>
      <c r="I78" s="410"/>
      <c r="J78" s="412"/>
      <c r="K78" s="412"/>
    </row>
    <row r="79" spans="1:11" ht="24" hidden="1" customHeight="1" x14ac:dyDescent="0.25">
      <c r="A79" s="635"/>
      <c r="B79" s="635"/>
      <c r="E79" s="410"/>
      <c r="F79" s="410"/>
      <c r="G79" s="410"/>
      <c r="H79" s="410"/>
      <c r="I79" s="413"/>
      <c r="J79" s="412"/>
      <c r="K79" s="412"/>
    </row>
    <row r="80" spans="1:11" ht="24" hidden="1" customHeight="1" x14ac:dyDescent="0.25">
      <c r="B80" s="395" t="s">
        <v>345</v>
      </c>
      <c r="C80" s="632" t="s">
        <v>54</v>
      </c>
      <c r="D80" s="632"/>
      <c r="E80" s="410"/>
      <c r="F80" s="414"/>
      <c r="G80" s="415"/>
      <c r="H80" s="416"/>
      <c r="I80" s="413"/>
      <c r="J80" s="412"/>
      <c r="K80" s="412"/>
    </row>
    <row r="81" spans="2:11" ht="24" hidden="1" customHeight="1" x14ac:dyDescent="0.25">
      <c r="B81" s="417"/>
      <c r="C81" s="418"/>
      <c r="D81" s="418"/>
      <c r="E81" s="419"/>
      <c r="F81" s="420"/>
      <c r="G81" s="421"/>
      <c r="H81" s="422"/>
      <c r="I81" s="423"/>
      <c r="J81" s="412"/>
      <c r="K81" s="412"/>
    </row>
    <row r="82" spans="2:11" ht="24" hidden="1" customHeight="1" x14ac:dyDescent="0.25">
      <c r="C82" s="27" t="s">
        <v>355</v>
      </c>
    </row>
    <row r="83" spans="2:11" ht="24" hidden="1" customHeight="1" x14ac:dyDescent="0.25"/>
    <row r="84" spans="2:11" ht="24" hidden="1" customHeight="1" x14ac:dyDescent="0.25">
      <c r="D84" s="27" t="s">
        <v>356</v>
      </c>
    </row>
    <row r="85" spans="2:11" ht="24" hidden="1" customHeight="1" x14ac:dyDescent="0.25"/>
    <row r="86" spans="2:11" ht="24" hidden="1" customHeight="1" x14ac:dyDescent="0.25">
      <c r="B86" s="27" t="s">
        <v>357</v>
      </c>
    </row>
    <row r="87" spans="2:11" ht="24" hidden="1" customHeight="1" x14ac:dyDescent="0.25"/>
    <row r="88" spans="2:11" ht="24" hidden="1" customHeight="1" x14ac:dyDescent="0.25">
      <c r="C88" s="27" t="s">
        <v>358</v>
      </c>
    </row>
    <row r="89" spans="2:11" ht="24" hidden="1" customHeight="1" x14ac:dyDescent="0.25"/>
    <row r="90" spans="2:11" ht="24" hidden="1" customHeight="1" x14ac:dyDescent="0.25">
      <c r="D90" s="27" t="s">
        <v>359</v>
      </c>
    </row>
    <row r="91" spans="2:11" ht="24" hidden="1" customHeight="1" x14ac:dyDescent="0.25">
      <c r="D91" s="27" t="s">
        <v>338</v>
      </c>
    </row>
    <row r="92" spans="2:11" ht="24" hidden="1" customHeight="1" x14ac:dyDescent="0.25">
      <c r="D92" s="27" t="s">
        <v>360</v>
      </c>
    </row>
    <row r="93" spans="2:11" ht="24" hidden="1" customHeight="1" x14ac:dyDescent="0.25">
      <c r="D93" s="27" t="s">
        <v>361</v>
      </c>
    </row>
    <row r="94" spans="2:11" ht="24" hidden="1" customHeight="1" x14ac:dyDescent="0.25">
      <c r="D94" s="27" t="s">
        <v>362</v>
      </c>
    </row>
    <row r="95" spans="2:11" ht="24" hidden="1" customHeight="1" x14ac:dyDescent="0.25"/>
    <row r="96" spans="2:11" ht="24" hidden="1" customHeight="1" x14ac:dyDescent="0.25">
      <c r="C96" s="27" t="s">
        <v>363</v>
      </c>
    </row>
    <row r="97" spans="2:5" ht="24" hidden="1" customHeight="1" x14ac:dyDescent="0.25"/>
    <row r="98" spans="2:5" ht="24" hidden="1" customHeight="1" x14ac:dyDescent="0.25">
      <c r="B98" s="388" t="s">
        <v>364</v>
      </c>
      <c r="C98" s="388"/>
    </row>
    <row r="99" spans="2:5" ht="24" hidden="1" customHeight="1" x14ac:dyDescent="0.25"/>
    <row r="100" spans="2:5" ht="24" hidden="1" customHeight="1" x14ac:dyDescent="0.25">
      <c r="C100" s="424" t="s">
        <v>365</v>
      </c>
    </row>
    <row r="101" spans="2:5" ht="24" hidden="1" customHeight="1" x14ac:dyDescent="0.25"/>
    <row r="102" spans="2:5" ht="24" hidden="1" customHeight="1" x14ac:dyDescent="0.25">
      <c r="C102" s="27" t="s">
        <v>366</v>
      </c>
    </row>
    <row r="103" spans="2:5" ht="24" hidden="1" customHeight="1" x14ac:dyDescent="0.25">
      <c r="C103" s="27" t="s">
        <v>367</v>
      </c>
    </row>
    <row r="104" spans="2:5" ht="24" hidden="1" customHeight="1" x14ac:dyDescent="0.25">
      <c r="C104" s="27" t="s">
        <v>368</v>
      </c>
    </row>
    <row r="105" spans="2:5" ht="24" hidden="1" customHeight="1" x14ac:dyDescent="0.25">
      <c r="C105" s="27" t="s">
        <v>369</v>
      </c>
    </row>
    <row r="106" spans="2:5" ht="24" hidden="1" customHeight="1" x14ac:dyDescent="0.25">
      <c r="C106" s="27" t="s">
        <v>370</v>
      </c>
    </row>
    <row r="107" spans="2:5" ht="24" hidden="1" customHeight="1" x14ac:dyDescent="0.25"/>
    <row r="108" spans="2:5" ht="24" hidden="1" customHeight="1" x14ac:dyDescent="0.25"/>
    <row r="109" spans="2:5" ht="24" hidden="1" customHeight="1" x14ac:dyDescent="0.25">
      <c r="B109" s="388" t="s">
        <v>371</v>
      </c>
    </row>
    <row r="110" spans="2:5" ht="24" hidden="1" customHeight="1" x14ac:dyDescent="0.25"/>
    <row r="111" spans="2:5" ht="24" hidden="1" customHeight="1" x14ac:dyDescent="0.25">
      <c r="C111" s="27" t="s">
        <v>372</v>
      </c>
    </row>
    <row r="112" spans="2:5" ht="24" hidden="1" customHeight="1" x14ac:dyDescent="0.25">
      <c r="D112" s="27" t="s">
        <v>373</v>
      </c>
      <c r="E112" s="425">
        <v>2332</v>
      </c>
    </row>
    <row r="113" spans="3:6" ht="24" hidden="1" customHeight="1" x14ac:dyDescent="0.25">
      <c r="D113" s="27" t="s">
        <v>374</v>
      </c>
      <c r="E113" s="425">
        <v>3062</v>
      </c>
    </row>
    <row r="114" spans="3:6" ht="24" hidden="1" customHeight="1" x14ac:dyDescent="0.25"/>
    <row r="115" spans="3:6" ht="24" hidden="1" customHeight="1" x14ac:dyDescent="0.25">
      <c r="C115" s="27" t="s">
        <v>375</v>
      </c>
      <c r="D115" s="27">
        <v>8.3000000000000007</v>
      </c>
    </row>
    <row r="116" spans="3:6" ht="24" hidden="1" customHeight="1" x14ac:dyDescent="0.25">
      <c r="D116" s="27" t="s">
        <v>376</v>
      </c>
    </row>
    <row r="117" spans="3:6" ht="24" hidden="1" customHeight="1" x14ac:dyDescent="0.25">
      <c r="D117" s="27" t="s">
        <v>377</v>
      </c>
      <c r="E117" s="425">
        <f>E30</f>
        <v>450</v>
      </c>
      <c r="F117" s="27">
        <f>E117*D115</f>
        <v>3735.0000000000005</v>
      </c>
    </row>
    <row r="118" spans="3:6" ht="24" hidden="1" customHeight="1" x14ac:dyDescent="0.25">
      <c r="D118" s="27" t="s">
        <v>378</v>
      </c>
      <c r="E118" s="425" t="e">
        <f>#REF!</f>
        <v>#REF!</v>
      </c>
      <c r="F118" s="27" t="e">
        <f>D115*E118</f>
        <v>#REF!</v>
      </c>
    </row>
    <row r="119" spans="3:6" ht="24" hidden="1" customHeight="1" x14ac:dyDescent="0.25"/>
    <row r="120" spans="3:6" ht="24" hidden="1" customHeight="1" x14ac:dyDescent="0.25">
      <c r="E120" s="27" t="s">
        <v>379</v>
      </c>
    </row>
    <row r="121" spans="3:6" ht="24" hidden="1" customHeight="1" x14ac:dyDescent="0.25"/>
    <row r="122" spans="3:6" ht="15.75" hidden="1" customHeight="1" x14ac:dyDescent="0.25"/>
  </sheetData>
  <mergeCells count="36">
    <mergeCell ref="G9:H9"/>
    <mergeCell ref="G4:H4"/>
    <mergeCell ref="G5:H5"/>
    <mergeCell ref="G6:H6"/>
    <mergeCell ref="G7:H7"/>
    <mergeCell ref="G8:H8"/>
    <mergeCell ref="A79:B79"/>
    <mergeCell ref="C19:D19"/>
    <mergeCell ref="E19:F19"/>
    <mergeCell ref="C20:D20"/>
    <mergeCell ref="E20:F20"/>
    <mergeCell ref="C21:D21"/>
    <mergeCell ref="E21:F21"/>
    <mergeCell ref="C16:D16"/>
    <mergeCell ref="E16:F16"/>
    <mergeCell ref="C80:D80"/>
    <mergeCell ref="C77:D77"/>
    <mergeCell ref="C78:D78"/>
    <mergeCell ref="C17:D17"/>
    <mergeCell ref="E17:F17"/>
    <mergeCell ref="C18:D18"/>
    <mergeCell ref="E18:F18"/>
    <mergeCell ref="C22:D22"/>
    <mergeCell ref="E22:F22"/>
    <mergeCell ref="C37:D37"/>
    <mergeCell ref="C76:D76"/>
    <mergeCell ref="C10:H10"/>
    <mergeCell ref="C14:D14"/>
    <mergeCell ref="E14:F14"/>
    <mergeCell ref="C15:D15"/>
    <mergeCell ref="E15:F15"/>
    <mergeCell ref="E11:F11"/>
    <mergeCell ref="C12:D12"/>
    <mergeCell ref="E12:F12"/>
    <mergeCell ref="C13:D13"/>
    <mergeCell ref="E13:F13"/>
  </mergeCells>
  <pageMargins left="0.70866141732283472" right="0.70866141732283472" top="0.74803149606299213" bottom="0.74803149606299213" header="0.31496062992125984" footer="0.31496062992125984"/>
  <pageSetup paperSize="9" scale="80" orientation="landscape" horizontalDpi="4294967293" verticalDpi="0"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46A66-6FF9-403D-B27E-DD775C6DB7B4}">
  <dimension ref="A1:J61"/>
  <sheetViews>
    <sheetView topLeftCell="A27" workbookViewId="0">
      <selection activeCell="A27" sqref="A1:XFD1048576"/>
    </sheetView>
  </sheetViews>
  <sheetFormatPr baseColWidth="10" defaultRowHeight="15" x14ac:dyDescent="0.25"/>
  <cols>
    <col min="1" max="1" width="7" style="110" customWidth="1"/>
    <col min="2" max="2" width="23.28515625" customWidth="1"/>
    <col min="3" max="4" width="14.85546875" customWidth="1"/>
    <col min="5" max="5" width="15.7109375" customWidth="1"/>
    <col min="6" max="6" width="14.85546875" customWidth="1"/>
    <col min="7" max="7" width="16.28515625" customWidth="1"/>
  </cols>
  <sheetData>
    <row r="1" spans="2:7" ht="26.45" customHeight="1" x14ac:dyDescent="0.25">
      <c r="B1" s="640" t="s">
        <v>762</v>
      </c>
      <c r="C1" s="640"/>
      <c r="D1" s="640"/>
      <c r="E1" s="640"/>
      <c r="F1" s="640"/>
      <c r="G1" s="640"/>
    </row>
    <row r="2" spans="2:7" ht="26.45" customHeight="1" x14ac:dyDescent="0.25">
      <c r="B2" s="641" t="s">
        <v>763</v>
      </c>
      <c r="C2" s="641"/>
      <c r="D2" s="641"/>
      <c r="E2" s="641"/>
      <c r="F2" s="641"/>
      <c r="G2" s="641"/>
    </row>
    <row r="3" spans="2:7" ht="23.25" customHeight="1" x14ac:dyDescent="0.25">
      <c r="B3" s="645" t="s">
        <v>703</v>
      </c>
      <c r="C3" s="645"/>
      <c r="D3" s="642" t="s">
        <v>704</v>
      </c>
      <c r="E3" s="642"/>
      <c r="F3" s="642"/>
      <c r="G3" s="642"/>
    </row>
    <row r="4" spans="2:7" ht="26.45" customHeight="1" x14ac:dyDescent="0.25">
      <c r="B4" s="643" t="s">
        <v>403</v>
      </c>
      <c r="C4" s="644"/>
      <c r="D4" s="110"/>
      <c r="F4" s="110"/>
      <c r="G4" s="110"/>
    </row>
    <row r="5" spans="2:7" ht="28.15" customHeight="1" x14ac:dyDescent="0.25">
      <c r="B5" s="459" t="s">
        <v>764</v>
      </c>
      <c r="C5" s="570">
        <v>45748</v>
      </c>
      <c r="E5" s="645">
        <v>41.96</v>
      </c>
      <c r="F5" s="645" t="s">
        <v>765</v>
      </c>
      <c r="G5" s="645"/>
    </row>
    <row r="6" spans="2:7" ht="41.25" customHeight="1" x14ac:dyDescent="0.25">
      <c r="B6" s="459" t="s">
        <v>404</v>
      </c>
      <c r="C6" s="460">
        <v>46101</v>
      </c>
      <c r="D6" s="461"/>
      <c r="E6" s="645"/>
      <c r="F6" s="645"/>
      <c r="G6" s="645"/>
    </row>
    <row r="7" spans="2:7" ht="41.25" customHeight="1" x14ac:dyDescent="0.25">
      <c r="B7" s="459" t="s">
        <v>405</v>
      </c>
      <c r="C7" s="460">
        <v>46112</v>
      </c>
      <c r="D7" s="461"/>
      <c r="E7" s="461"/>
      <c r="F7" s="461"/>
      <c r="G7" s="461"/>
    </row>
    <row r="8" spans="2:7" ht="41.25" customHeight="1" x14ac:dyDescent="0.25">
      <c r="B8" s="47" t="s">
        <v>406</v>
      </c>
      <c r="C8" s="460">
        <v>46082</v>
      </c>
      <c r="D8" s="461"/>
      <c r="E8" s="461"/>
      <c r="F8" s="461"/>
      <c r="G8" s="110"/>
    </row>
    <row r="9" spans="2:7" ht="41.25" customHeight="1" x14ac:dyDescent="0.25">
      <c r="B9" s="47" t="s">
        <v>407</v>
      </c>
      <c r="C9" s="460">
        <v>46112</v>
      </c>
      <c r="D9" s="461"/>
      <c r="E9" s="461"/>
      <c r="F9" s="461"/>
      <c r="G9" s="110"/>
    </row>
    <row r="10" spans="2:7" ht="41.25" customHeight="1" x14ac:dyDescent="0.25">
      <c r="B10" s="47" t="s">
        <v>408</v>
      </c>
      <c r="C10" s="462"/>
      <c r="D10" s="461"/>
      <c r="E10" s="461"/>
      <c r="F10" s="461"/>
      <c r="G10" s="110"/>
    </row>
    <row r="11" spans="2:7" ht="39.75" customHeight="1" x14ac:dyDescent="0.25">
      <c r="B11" s="459" t="s">
        <v>409</v>
      </c>
      <c r="C11" s="47">
        <f>C7-C6+1</f>
        <v>12</v>
      </c>
      <c r="D11" s="110"/>
      <c r="E11" s="110"/>
      <c r="F11" s="110"/>
      <c r="G11" s="110"/>
    </row>
    <row r="12" spans="2:7" ht="39.75" customHeight="1" x14ac:dyDescent="0.25">
      <c r="B12" s="459" t="s">
        <v>410</v>
      </c>
      <c r="C12" s="47">
        <v>3</v>
      </c>
      <c r="D12" s="110"/>
      <c r="E12" s="110"/>
      <c r="F12" s="110"/>
      <c r="G12" s="110"/>
    </row>
    <row r="13" spans="2:7" ht="39.75" customHeight="1" x14ac:dyDescent="0.25">
      <c r="B13" s="459" t="s">
        <v>411</v>
      </c>
      <c r="C13" s="47">
        <f>C11-C12</f>
        <v>9</v>
      </c>
      <c r="D13" s="653"/>
      <c r="E13" s="654"/>
      <c r="F13" s="654"/>
      <c r="G13" s="110"/>
    </row>
    <row r="14" spans="2:7" ht="39.75" customHeight="1" x14ac:dyDescent="0.25">
      <c r="B14" s="459" t="s">
        <v>412</v>
      </c>
      <c r="C14" s="47">
        <f ca="1">SUMPRODUCT((WEEKDAY(ROW(INDIRECT(C$6&amp;":"&amp;C$7)))=7)*1)</f>
        <v>2</v>
      </c>
      <c r="D14" s="110"/>
      <c r="E14" s="110"/>
      <c r="F14" s="110"/>
      <c r="G14" s="110"/>
    </row>
    <row r="15" spans="2:7" ht="39.75" customHeight="1" x14ac:dyDescent="0.25">
      <c r="B15" s="459" t="s">
        <v>413</v>
      </c>
      <c r="C15" s="47">
        <f ca="1">C11-C14</f>
        <v>10</v>
      </c>
      <c r="D15" s="110"/>
      <c r="E15" s="110"/>
      <c r="F15" s="110"/>
      <c r="G15" s="110"/>
    </row>
    <row r="16" spans="2:7" ht="39.75" customHeight="1" x14ac:dyDescent="0.25">
      <c r="B16" s="459" t="s">
        <v>414</v>
      </c>
      <c r="C16" s="47">
        <f>NETWORKDAYS(C6,C7)</f>
        <v>8</v>
      </c>
      <c r="D16" s="110"/>
      <c r="E16" s="110"/>
      <c r="F16" s="110"/>
      <c r="G16" s="110"/>
    </row>
    <row r="17" spans="2:10" ht="23.25" customHeight="1" x14ac:dyDescent="0.25">
      <c r="B17" s="110"/>
      <c r="C17" s="110"/>
      <c r="D17" s="463"/>
      <c r="E17" s="463"/>
      <c r="F17" s="463"/>
      <c r="G17" s="463"/>
    </row>
    <row r="18" spans="2:10" ht="23.25" customHeight="1" x14ac:dyDescent="0.25">
      <c r="B18" s="47" t="s">
        <v>415</v>
      </c>
      <c r="C18" s="558">
        <v>12.02</v>
      </c>
      <c r="D18" s="645" t="s">
        <v>766</v>
      </c>
      <c r="E18" s="645"/>
      <c r="F18" s="110"/>
      <c r="G18" s="110"/>
    </row>
    <row r="19" spans="2:10" ht="23.25" customHeight="1" x14ac:dyDescent="0.25">
      <c r="B19" s="47" t="s">
        <v>416</v>
      </c>
      <c r="C19" s="580">
        <v>11.88</v>
      </c>
      <c r="D19" s="655" t="s">
        <v>767</v>
      </c>
      <c r="E19" s="656"/>
      <c r="F19" s="464"/>
      <c r="G19" s="464"/>
    </row>
    <row r="20" spans="2:10" x14ac:dyDescent="0.25">
      <c r="J20" s="559"/>
    </row>
    <row r="21" spans="2:10" ht="38.25" customHeight="1" x14ac:dyDescent="0.25">
      <c r="B21" s="657" t="s">
        <v>768</v>
      </c>
      <c r="C21" s="657"/>
      <c r="D21" s="657"/>
      <c r="E21" s="657"/>
      <c r="F21" s="657"/>
      <c r="G21" s="657"/>
      <c r="J21" s="559"/>
    </row>
    <row r="22" spans="2:10" ht="24.75" customHeight="1" x14ac:dyDescent="0.25">
      <c r="B22" s="465" t="s">
        <v>417</v>
      </c>
      <c r="C22" s="465" t="s">
        <v>418</v>
      </c>
      <c r="D22" s="465" t="s">
        <v>419</v>
      </c>
      <c r="E22" s="465" t="s">
        <v>420</v>
      </c>
      <c r="F22" s="465" t="s">
        <v>421</v>
      </c>
      <c r="G22" s="465" t="s">
        <v>422</v>
      </c>
    </row>
    <row r="23" spans="2:10" ht="48.6" customHeight="1" x14ac:dyDescent="0.25">
      <c r="B23" s="581" t="s">
        <v>423</v>
      </c>
      <c r="C23" s="649" t="s">
        <v>424</v>
      </c>
      <c r="D23" s="650"/>
      <c r="E23" s="466" t="s">
        <v>425</v>
      </c>
      <c r="F23" s="560" t="s">
        <v>769</v>
      </c>
      <c r="G23" s="466" t="s">
        <v>426</v>
      </c>
    </row>
    <row r="24" spans="2:10" ht="38.25" customHeight="1" x14ac:dyDescent="0.25">
      <c r="B24" s="582" t="s">
        <v>770</v>
      </c>
      <c r="C24" s="583" t="s">
        <v>705</v>
      </c>
      <c r="D24" s="584" t="s">
        <v>153</v>
      </c>
      <c r="E24" s="585">
        <v>2800</v>
      </c>
      <c r="F24" s="586">
        <f>IF(B24="N",1.4*C18*151.67,1.4*C19*151.67)</f>
        <v>2552.3027599999996</v>
      </c>
      <c r="G24" s="587">
        <f>MIN(F24,E24)</f>
        <v>2552.3027599999996</v>
      </c>
    </row>
    <row r="25" spans="2:10" ht="38.25" customHeight="1" x14ac:dyDescent="0.25">
      <c r="B25" s="582" t="s">
        <v>770</v>
      </c>
      <c r="C25" s="583" t="s">
        <v>771</v>
      </c>
      <c r="D25" s="584" t="s">
        <v>772</v>
      </c>
      <c r="E25" s="585">
        <v>2500</v>
      </c>
      <c r="F25" s="588">
        <f>F24</f>
        <v>2552.3027599999996</v>
      </c>
      <c r="G25" s="587">
        <f>MIN(F25,E25)</f>
        <v>2500</v>
      </c>
    </row>
    <row r="26" spans="2:10" ht="38.25" customHeight="1" x14ac:dyDescent="0.25">
      <c r="B26" s="582" t="s">
        <v>773</v>
      </c>
      <c r="C26" s="583" t="s">
        <v>774</v>
      </c>
      <c r="D26" s="584" t="s">
        <v>402</v>
      </c>
      <c r="E26" s="585">
        <v>3300</v>
      </c>
      <c r="F26" s="588">
        <f>F25</f>
        <v>2552.3027599999996</v>
      </c>
      <c r="G26" s="587">
        <f>MIN(F26,E26)</f>
        <v>2552.3027599999996</v>
      </c>
    </row>
    <row r="27" spans="2:10" ht="28.5" customHeight="1" x14ac:dyDescent="0.25">
      <c r="B27" s="467"/>
      <c r="C27" s="467"/>
      <c r="D27" s="468"/>
      <c r="E27" s="468"/>
      <c r="F27" s="589" t="s">
        <v>93</v>
      </c>
      <c r="G27" s="588">
        <f>SUM(G24:G26)</f>
        <v>7604.6055199999992</v>
      </c>
    </row>
    <row r="28" spans="2:10" ht="29.25" customHeight="1" x14ac:dyDescent="0.25">
      <c r="B28" s="467"/>
      <c r="C28" s="467"/>
      <c r="D28" s="464"/>
      <c r="E28" s="464"/>
      <c r="F28" s="583" t="s">
        <v>428</v>
      </c>
      <c r="G28" s="588">
        <f>ROUND(G27*0.5/91.25,6)</f>
        <v>41.669071000000002</v>
      </c>
    </row>
    <row r="29" spans="2:10" ht="30" customHeight="1" x14ac:dyDescent="0.25">
      <c r="B29" s="467"/>
      <c r="C29" s="467"/>
      <c r="D29" s="464"/>
      <c r="E29" s="464"/>
      <c r="F29" s="590" t="s">
        <v>429</v>
      </c>
      <c r="G29" s="587">
        <f>C13</f>
        <v>9</v>
      </c>
    </row>
    <row r="30" spans="2:10" ht="34.5" customHeight="1" x14ac:dyDescent="0.25">
      <c r="B30" s="467"/>
      <c r="C30" s="467"/>
      <c r="D30" s="464"/>
      <c r="E30" s="464"/>
      <c r="F30" s="583" t="s">
        <v>430</v>
      </c>
      <c r="G30" s="588">
        <f>ROUND(G28*G29,2)</f>
        <v>375.02</v>
      </c>
    </row>
    <row r="31" spans="2:10" ht="38.25" customHeight="1" x14ac:dyDescent="0.25">
      <c r="B31" s="467"/>
      <c r="C31" s="467"/>
      <c r="D31" s="464"/>
      <c r="E31" s="464"/>
      <c r="F31" s="583" t="s">
        <v>431</v>
      </c>
      <c r="G31" s="588">
        <f>ROUND(G30*0.933,2)</f>
        <v>349.89</v>
      </c>
    </row>
    <row r="32" spans="2:10" ht="38.25" customHeight="1" x14ac:dyDescent="0.25">
      <c r="B32" s="467"/>
      <c r="C32" s="467"/>
      <c r="D32" s="464"/>
      <c r="E32" s="464"/>
      <c r="F32" s="591" t="s">
        <v>432</v>
      </c>
      <c r="G32" s="588">
        <f>G30*2.9%</f>
        <v>10.875579999999999</v>
      </c>
      <c r="H32" s="651" t="s">
        <v>433</v>
      </c>
      <c r="I32" s="652"/>
    </row>
    <row r="33" spans="2:9" ht="38.25" customHeight="1" x14ac:dyDescent="0.25">
      <c r="F33" s="591" t="s">
        <v>434</v>
      </c>
      <c r="G33" s="588">
        <f>G30*3.8%</f>
        <v>14.25076</v>
      </c>
      <c r="H33" s="651"/>
      <c r="I33" s="652"/>
    </row>
    <row r="34" spans="2:9" ht="45.75" customHeight="1" x14ac:dyDescent="0.25">
      <c r="F34" s="588" t="s">
        <v>100</v>
      </c>
      <c r="G34" s="588">
        <f>G31+G32</f>
        <v>360.76558</v>
      </c>
    </row>
    <row r="35" spans="2:9" ht="45.75" customHeight="1" x14ac:dyDescent="0.25">
      <c r="F35" s="592"/>
      <c r="G35" s="592"/>
    </row>
    <row r="36" spans="2:9" ht="45.75" customHeight="1" x14ac:dyDescent="0.25">
      <c r="F36" s="592"/>
      <c r="G36" s="592"/>
    </row>
    <row r="37" spans="2:9" ht="45.75" customHeight="1" x14ac:dyDescent="0.25">
      <c r="F37" s="592"/>
      <c r="G37" s="592"/>
    </row>
    <row r="38" spans="2:9" ht="33.75" customHeight="1" x14ac:dyDescent="0.25">
      <c r="B38" s="646" t="s">
        <v>435</v>
      </c>
      <c r="C38" s="647"/>
      <c r="D38" s="647"/>
      <c r="E38" s="647"/>
      <c r="F38" s="647"/>
      <c r="G38" s="648"/>
    </row>
    <row r="39" spans="2:9" ht="33" customHeight="1" x14ac:dyDescent="0.25">
      <c r="B39" s="561" t="s">
        <v>404</v>
      </c>
      <c r="C39" s="562">
        <f>C6</f>
        <v>46101</v>
      </c>
      <c r="D39" s="470"/>
      <c r="E39" s="470"/>
      <c r="F39" s="470"/>
      <c r="G39" s="54"/>
    </row>
    <row r="40" spans="2:9" ht="33" customHeight="1" x14ac:dyDescent="0.25">
      <c r="B40" s="145" t="s">
        <v>405</v>
      </c>
      <c r="C40" s="469">
        <f>C7</f>
        <v>46112</v>
      </c>
      <c r="D40" s="470"/>
      <c r="E40" s="470"/>
      <c r="F40" s="470"/>
      <c r="G40" s="9"/>
    </row>
    <row r="41" spans="2:9" ht="33" customHeight="1" x14ac:dyDescent="0.25">
      <c r="B41" s="145" t="s">
        <v>406</v>
      </c>
      <c r="C41" s="469">
        <f>C8</f>
        <v>46082</v>
      </c>
      <c r="D41" s="461"/>
      <c r="E41" s="461"/>
      <c r="F41" s="461"/>
      <c r="G41" s="110"/>
    </row>
    <row r="42" spans="2:9" ht="33" customHeight="1" x14ac:dyDescent="0.25">
      <c r="B42" s="145" t="s">
        <v>407</v>
      </c>
      <c r="C42" s="469">
        <f>C9</f>
        <v>46112</v>
      </c>
      <c r="D42" s="461"/>
      <c r="E42" s="461"/>
      <c r="F42" s="461"/>
      <c r="G42" s="110"/>
    </row>
    <row r="43" spans="2:9" ht="33" customHeight="1" x14ac:dyDescent="0.25">
      <c r="B43" s="145" t="s">
        <v>436</v>
      </c>
      <c r="C43" s="471">
        <f>C10</f>
        <v>0</v>
      </c>
      <c r="D43" s="110"/>
      <c r="E43" s="110"/>
      <c r="F43" s="110"/>
      <c r="G43" s="110"/>
    </row>
    <row r="44" spans="2:9" ht="33.75" customHeight="1" x14ac:dyDescent="0.25">
      <c r="B44" s="472" t="s">
        <v>409</v>
      </c>
      <c r="C44" s="472">
        <f>C40-C39+1</f>
        <v>12</v>
      </c>
      <c r="D44" s="110"/>
      <c r="E44" s="110"/>
      <c r="F44" s="110"/>
      <c r="G44" s="110"/>
    </row>
    <row r="45" spans="2:9" ht="33.75" customHeight="1" x14ac:dyDescent="0.25">
      <c r="B45" s="473" t="s">
        <v>437</v>
      </c>
      <c r="C45" s="473">
        <f ca="1">SUMPRODUCT((WEEKDAY(ROW(INDIRECT(C$39&amp;":"&amp;C$40)))=7)*1)</f>
        <v>2</v>
      </c>
      <c r="D45" s="110"/>
      <c r="E45" s="110"/>
      <c r="F45" s="110"/>
      <c r="G45" s="110"/>
    </row>
    <row r="46" spans="2:9" ht="33.75" customHeight="1" x14ac:dyDescent="0.25">
      <c r="B46" s="472" t="s">
        <v>438</v>
      </c>
      <c r="C46" s="472">
        <f>NETWORKDAYS(C39,C40)</f>
        <v>8</v>
      </c>
      <c r="D46" s="110"/>
      <c r="E46" s="110"/>
      <c r="F46" s="110"/>
      <c r="G46" s="110"/>
    </row>
    <row r="47" spans="2:9" ht="33.75" customHeight="1" x14ac:dyDescent="0.25">
      <c r="B47" s="472" t="s">
        <v>439</v>
      </c>
      <c r="C47" s="472">
        <f ca="1">C44-C45</f>
        <v>10</v>
      </c>
      <c r="D47" s="110"/>
      <c r="E47" s="110"/>
      <c r="F47" s="110"/>
      <c r="G47" s="110"/>
    </row>
    <row r="48" spans="2:9" ht="33.75" customHeight="1" x14ac:dyDescent="0.25">
      <c r="B48" s="474" t="s">
        <v>440</v>
      </c>
      <c r="C48" s="474"/>
      <c r="D48" s="54"/>
      <c r="E48" s="54"/>
      <c r="F48" s="54"/>
      <c r="G48" s="54"/>
    </row>
    <row r="49" spans="2:7" ht="33.75" customHeight="1" x14ac:dyDescent="0.25">
      <c r="B49" s="474" t="s">
        <v>441</v>
      </c>
      <c r="C49" s="474"/>
      <c r="D49" s="54"/>
      <c r="E49" s="54"/>
      <c r="F49" s="54"/>
      <c r="G49" s="54"/>
    </row>
    <row r="50" spans="2:7" ht="33.75" customHeight="1" x14ac:dyDescent="0.25">
      <c r="B50" s="475" t="s">
        <v>442</v>
      </c>
      <c r="C50" s="472" t="e">
        <f>-C49*C43/C48</f>
        <v>#DIV/0!</v>
      </c>
      <c r="D50" s="110"/>
      <c r="E50" s="110"/>
      <c r="F50" s="110"/>
      <c r="G50" s="110"/>
    </row>
    <row r="51" spans="2:7" ht="35.25" customHeight="1" x14ac:dyDescent="0.25">
      <c r="B51" s="473" t="s">
        <v>443</v>
      </c>
      <c r="C51" s="473">
        <f>NETWORKDAYS(C41,C42)</f>
        <v>22</v>
      </c>
      <c r="D51" s="110"/>
      <c r="E51" s="110"/>
      <c r="F51" s="110"/>
      <c r="G51" s="110"/>
    </row>
    <row r="52" spans="2:7" ht="38.25" customHeight="1" x14ac:dyDescent="0.25">
      <c r="B52" s="472" t="s">
        <v>444</v>
      </c>
      <c r="C52" s="472">
        <f>ROUND(C43*C46/C51,2)</f>
        <v>0</v>
      </c>
      <c r="D52" s="110"/>
      <c r="E52" s="110"/>
      <c r="F52" s="110"/>
      <c r="G52" s="110"/>
    </row>
    <row r="53" spans="2:7" ht="28.5" customHeight="1" x14ac:dyDescent="0.25">
      <c r="B53" s="472" t="s">
        <v>445</v>
      </c>
      <c r="C53" s="472">
        <f>ROUND(C43*C46/22,2)</f>
        <v>0</v>
      </c>
      <c r="D53" s="110"/>
      <c r="E53" s="110"/>
      <c r="F53" s="110"/>
      <c r="G53" s="110"/>
    </row>
    <row r="54" spans="2:7" ht="41.25" customHeight="1" x14ac:dyDescent="0.25">
      <c r="B54" s="472" t="s">
        <v>446</v>
      </c>
      <c r="C54" s="472">
        <f>ROUND(C43*C46/21.67,2)</f>
        <v>0</v>
      </c>
      <c r="D54" s="110"/>
      <c r="E54" s="110"/>
      <c r="F54" s="110"/>
      <c r="G54" s="110"/>
    </row>
    <row r="55" spans="2:7" ht="36" customHeight="1" x14ac:dyDescent="0.25">
      <c r="B55" s="473" t="s">
        <v>447</v>
      </c>
      <c r="C55" s="473">
        <f>C42-C41+1</f>
        <v>31</v>
      </c>
      <c r="D55" s="110"/>
      <c r="E55" s="110"/>
      <c r="F55" s="110"/>
      <c r="G55" s="110"/>
    </row>
    <row r="56" spans="2:7" ht="39" customHeight="1" x14ac:dyDescent="0.25">
      <c r="B56" s="472" t="s">
        <v>448</v>
      </c>
      <c r="C56" s="472">
        <f>ROUND(C43*C44/C55,2)</f>
        <v>0</v>
      </c>
      <c r="D56" s="110"/>
      <c r="E56" s="110"/>
      <c r="F56" s="110"/>
      <c r="G56" s="110"/>
    </row>
    <row r="57" spans="2:7" ht="35.25" customHeight="1" x14ac:dyDescent="0.25">
      <c r="B57" s="472" t="s">
        <v>449</v>
      </c>
      <c r="C57" s="472">
        <f>ROUND(C43*C44/30,2)</f>
        <v>0</v>
      </c>
      <c r="D57" s="110"/>
      <c r="E57" s="110"/>
      <c r="F57" s="110"/>
      <c r="G57" s="110"/>
    </row>
    <row r="58" spans="2:7" ht="36" customHeight="1" x14ac:dyDescent="0.25">
      <c r="B58" s="473" t="s">
        <v>450</v>
      </c>
      <c r="C58" s="473">
        <f ca="1">SUMPRODUCT((WEEKDAY(ROW(INDIRECT($C41&amp;":"&amp;$C42)))=7)*1)</f>
        <v>4</v>
      </c>
      <c r="D58" s="110"/>
      <c r="E58" s="110"/>
      <c r="F58" s="110"/>
      <c r="G58" s="110"/>
    </row>
    <row r="59" spans="2:7" ht="36" customHeight="1" x14ac:dyDescent="0.25">
      <c r="B59" s="473" t="s">
        <v>451</v>
      </c>
      <c r="C59" s="473">
        <f ca="1">C55-C58</f>
        <v>27</v>
      </c>
      <c r="D59" s="110"/>
      <c r="E59" s="110"/>
      <c r="F59" s="110"/>
      <c r="G59" s="110"/>
    </row>
    <row r="60" spans="2:7" ht="39.75" customHeight="1" x14ac:dyDescent="0.25">
      <c r="B60" s="472" t="s">
        <v>452</v>
      </c>
      <c r="C60" s="472">
        <f ca="1">ROUND(C43*C47/C59,2)</f>
        <v>0</v>
      </c>
      <c r="D60" s="110"/>
      <c r="E60" s="110"/>
      <c r="F60" s="110"/>
      <c r="G60" s="110"/>
    </row>
    <row r="61" spans="2:7" ht="39.75" customHeight="1" x14ac:dyDescent="0.25">
      <c r="B61" s="472" t="s">
        <v>453</v>
      </c>
      <c r="C61" s="472">
        <f ca="1">ROUND(C43*C47/26,2)</f>
        <v>0</v>
      </c>
      <c r="D61" s="110"/>
      <c r="E61" s="110"/>
      <c r="F61" s="110"/>
      <c r="G61" s="110"/>
    </row>
  </sheetData>
  <mergeCells count="14">
    <mergeCell ref="B38:G38"/>
    <mergeCell ref="C23:D23"/>
    <mergeCell ref="H32:I33"/>
    <mergeCell ref="D13:F13"/>
    <mergeCell ref="D18:E18"/>
    <mergeCell ref="D19:E19"/>
    <mergeCell ref="B21:G21"/>
    <mergeCell ref="B1:G1"/>
    <mergeCell ref="B2:G2"/>
    <mergeCell ref="D3:G3"/>
    <mergeCell ref="B4:C4"/>
    <mergeCell ref="E5:E6"/>
    <mergeCell ref="F5:G6"/>
    <mergeCell ref="B3:C3"/>
  </mergeCells>
  <phoneticPr fontId="77" type="noConversion"/>
  <pageMargins left="0.70866141732283472" right="0.70866141732283472" top="0" bottom="0" header="0.31496062992125984" footer="0.31496062992125984"/>
  <pageSetup paperSize="9" scale="80" orientation="landscape" horizontalDpi="4294967293"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A2602E-5DA6-420B-86A6-4E7AA7B6A4AD}">
  <dimension ref="A18:H48"/>
  <sheetViews>
    <sheetView tabSelected="1" topLeftCell="A41" workbookViewId="0">
      <selection activeCell="C45" sqref="C45"/>
    </sheetView>
  </sheetViews>
  <sheetFormatPr baseColWidth="10" defaultRowHeight="15" x14ac:dyDescent="0.25"/>
  <cols>
    <col min="2" max="2" width="26.5703125" customWidth="1"/>
  </cols>
  <sheetData>
    <row r="18" spans="2:8" s="189" customFormat="1" ht="30" customHeight="1" x14ac:dyDescent="0.25">
      <c r="B18" s="662" t="s">
        <v>729</v>
      </c>
      <c r="C18" s="662"/>
      <c r="D18" s="662"/>
      <c r="E18" s="662"/>
      <c r="F18" s="218"/>
      <c r="G18" s="218"/>
      <c r="H18" s="218"/>
    </row>
    <row r="19" spans="2:8" s="189" customFormat="1" ht="30" customHeight="1" x14ac:dyDescent="0.25">
      <c r="B19" s="658" t="s">
        <v>730</v>
      </c>
      <c r="C19" s="658"/>
      <c r="D19" s="658"/>
      <c r="E19" s="658"/>
      <c r="F19" s="218"/>
      <c r="G19" s="218"/>
      <c r="H19" s="218"/>
    </row>
    <row r="20" spans="2:8" s="189" customFormat="1" ht="30" customHeight="1" x14ac:dyDescent="0.25">
      <c r="B20" s="658" t="s">
        <v>464</v>
      </c>
      <c r="C20" s="658"/>
      <c r="D20" s="658"/>
      <c r="E20" s="572">
        <f>'TABLE DES TAUX 2026 '!D54</f>
        <v>12.02</v>
      </c>
      <c r="F20" s="218"/>
      <c r="G20" s="218"/>
      <c r="H20" s="218"/>
    </row>
    <row r="21" spans="2:8" s="189" customFormat="1" ht="30" customHeight="1" x14ac:dyDescent="0.25">
      <c r="B21" s="658" t="s">
        <v>289</v>
      </c>
      <c r="C21" s="658"/>
      <c r="D21" s="658"/>
      <c r="E21" s="573">
        <f>'BP VERSION JANVIER 2023'!B9</f>
        <v>50</v>
      </c>
      <c r="F21" s="218"/>
      <c r="G21" s="218"/>
      <c r="H21" s="218"/>
    </row>
    <row r="22" spans="2:8" s="189" customFormat="1" ht="30" customHeight="1" x14ac:dyDescent="0.25">
      <c r="B22" s="658" t="s">
        <v>731</v>
      </c>
      <c r="C22" s="658"/>
      <c r="D22" s="658"/>
      <c r="E22" s="40">
        <f>+'TABLE DES TAUX 2026 '!D61</f>
        <v>0.37809999999999999</v>
      </c>
      <c r="F22" s="661" t="s">
        <v>732</v>
      </c>
      <c r="G22" s="659"/>
      <c r="H22" s="659"/>
    </row>
    <row r="23" spans="2:8" s="189" customFormat="1" ht="30" customHeight="1" x14ac:dyDescent="0.25">
      <c r="B23" s="658"/>
      <c r="C23" s="658"/>
      <c r="D23" s="658"/>
      <c r="E23" s="40">
        <f>+'TABLE DES TAUX 2026 '!E61</f>
        <v>0.3821</v>
      </c>
      <c r="F23" s="661" t="s">
        <v>733</v>
      </c>
      <c r="G23" s="659"/>
      <c r="H23" s="659"/>
    </row>
    <row r="24" spans="2:8" s="189" customFormat="1" ht="30" customHeight="1" x14ac:dyDescent="0.25">
      <c r="B24" s="658" t="s">
        <v>13</v>
      </c>
      <c r="C24" s="658"/>
      <c r="D24" s="658"/>
      <c r="E24" s="574">
        <f>'BP VERSION JANVIER 2023'!B10</f>
        <v>123.40291447787524</v>
      </c>
      <c r="F24" s="218"/>
      <c r="G24" s="218"/>
      <c r="H24" s="218"/>
    </row>
    <row r="25" spans="2:8" s="189" customFormat="1" ht="30" customHeight="1" x14ac:dyDescent="0.25">
      <c r="B25" s="658" t="s">
        <v>734</v>
      </c>
      <c r="C25" s="658"/>
      <c r="D25" s="658"/>
      <c r="E25" s="575">
        <f>'BP VERSION JANVIER 2023'!J33</f>
        <v>2034.069270090909</v>
      </c>
      <c r="F25" s="218"/>
      <c r="G25" s="218"/>
      <c r="H25" s="218"/>
    </row>
    <row r="26" spans="2:8" s="189" customFormat="1" ht="15.75" x14ac:dyDescent="0.25"/>
    <row r="27" spans="2:8" s="189" customFormat="1" ht="15.75" x14ac:dyDescent="0.25"/>
    <row r="28" spans="2:8" s="189" customFormat="1" ht="15.75" x14ac:dyDescent="0.25"/>
    <row r="29" spans="2:8" s="189" customFormat="1" ht="15.75" x14ac:dyDescent="0.25"/>
    <row r="30" spans="2:8" s="189" customFormat="1" ht="15.75" x14ac:dyDescent="0.25"/>
    <row r="31" spans="2:8" s="189" customFormat="1" ht="15.75" x14ac:dyDescent="0.25"/>
    <row r="32" spans="2:8" s="189" customFormat="1" ht="15.75" x14ac:dyDescent="0.25"/>
    <row r="33" spans="1:7" s="189" customFormat="1" ht="15.75" x14ac:dyDescent="0.25"/>
    <row r="34" spans="1:7" s="189" customFormat="1" ht="15.75" x14ac:dyDescent="0.25"/>
    <row r="35" spans="1:7" s="218" customFormat="1" ht="33.75" customHeight="1" x14ac:dyDescent="0.25">
      <c r="A35" s="40" t="s">
        <v>291</v>
      </c>
      <c r="B35" s="40" t="s">
        <v>735</v>
      </c>
      <c r="C35" s="576">
        <v>0.02</v>
      </c>
    </row>
    <row r="36" spans="1:7" s="218" customFormat="1" ht="33.75" customHeight="1" x14ac:dyDescent="0.25">
      <c r="A36" s="40" t="s">
        <v>257</v>
      </c>
      <c r="B36" s="40" t="s">
        <v>736</v>
      </c>
      <c r="C36" s="40">
        <f>IF(E21&gt;=50,E23,E22)</f>
        <v>0.3821</v>
      </c>
      <c r="D36" s="658" t="s">
        <v>737</v>
      </c>
      <c r="E36" s="658"/>
      <c r="F36" s="658"/>
      <c r="G36" s="658"/>
    </row>
    <row r="37" spans="1:7" s="218" customFormat="1" ht="33.75" customHeight="1" x14ac:dyDescent="0.25">
      <c r="A37" s="40" t="s">
        <v>221</v>
      </c>
      <c r="B37" s="40" t="s">
        <v>738</v>
      </c>
      <c r="C37" s="40">
        <f>3*E20*E24</f>
        <v>4449.9090960721815</v>
      </c>
    </row>
    <row r="38" spans="1:7" s="218" customFormat="1" ht="33.75" customHeight="1" x14ac:dyDescent="0.25">
      <c r="A38" s="40" t="s">
        <v>258</v>
      </c>
      <c r="B38" s="40" t="s">
        <v>739</v>
      </c>
      <c r="C38" s="40">
        <f>E25</f>
        <v>2034.069270090909</v>
      </c>
    </row>
    <row r="39" spans="1:7" s="218" customFormat="1" ht="33.75" customHeight="1" x14ac:dyDescent="0.25">
      <c r="A39" s="40" t="s">
        <v>740</v>
      </c>
      <c r="B39" s="40" t="s">
        <v>259</v>
      </c>
      <c r="C39" s="40">
        <f>C37/C38</f>
        <v>2.1876880799999996</v>
      </c>
    </row>
    <row r="40" spans="1:7" s="218" customFormat="1" ht="33.75" customHeight="1" x14ac:dyDescent="0.25">
      <c r="A40" s="40" t="s">
        <v>260</v>
      </c>
      <c r="B40" s="40" t="s">
        <v>741</v>
      </c>
      <c r="C40" s="40">
        <f>IF((C39-1)&lt;0,0,C39-1)</f>
        <v>1.1876880799999996</v>
      </c>
    </row>
    <row r="41" spans="1:7" s="218" customFormat="1" ht="33.75" customHeight="1" x14ac:dyDescent="0.25">
      <c r="A41" s="40" t="s">
        <v>742</v>
      </c>
      <c r="B41" s="40" t="s">
        <v>261</v>
      </c>
      <c r="C41" s="40">
        <f>C40/2</f>
        <v>0.5938440399999998</v>
      </c>
    </row>
    <row r="42" spans="1:7" s="218" customFormat="1" ht="33.75" customHeight="1" x14ac:dyDescent="0.25">
      <c r="A42" s="40" t="s">
        <v>287</v>
      </c>
      <c r="B42" s="40" t="s">
        <v>789</v>
      </c>
      <c r="C42" s="40">
        <f>POWER(C41,1.75)</f>
        <v>0.40172300595257571</v>
      </c>
    </row>
    <row r="43" spans="1:7" s="218" customFormat="1" ht="33.75" customHeight="1" x14ac:dyDescent="0.25">
      <c r="A43" s="40" t="s">
        <v>288</v>
      </c>
      <c r="B43" s="40" t="s">
        <v>790</v>
      </c>
      <c r="C43" s="40">
        <f>IF($E$21&lt;50,$E$22*C42,$E$23*C42)</f>
        <v>0.15349836057447919</v>
      </c>
    </row>
    <row r="44" spans="1:7" s="218" customFormat="1" ht="33.75" customHeight="1" x14ac:dyDescent="0.25">
      <c r="A44" s="40" t="s">
        <v>743</v>
      </c>
      <c r="B44" s="40" t="s">
        <v>744</v>
      </c>
      <c r="C44" s="602">
        <f>ROUND(IF((C35+C43)=0.02,0,C35+C43),4)</f>
        <v>0.17349999999999999</v>
      </c>
      <c r="D44" s="659"/>
      <c r="E44" s="659"/>
      <c r="F44" s="659"/>
      <c r="G44" s="659"/>
    </row>
    <row r="45" spans="1:7" s="218" customFormat="1" ht="33.75" customHeight="1" x14ac:dyDescent="0.25">
      <c r="A45" s="40" t="s">
        <v>745</v>
      </c>
      <c r="B45" s="40" t="s">
        <v>746</v>
      </c>
      <c r="C45" s="585">
        <f>ROUND((C44*E25),2)</f>
        <v>352.91</v>
      </c>
      <c r="D45" s="660" t="s">
        <v>747</v>
      </c>
      <c r="E45" s="660"/>
      <c r="F45" s="660"/>
      <c r="G45" s="660"/>
    </row>
    <row r="46" spans="1:7" s="189" customFormat="1" ht="15.75" x14ac:dyDescent="0.25"/>
    <row r="47" spans="1:7" s="29" customFormat="1" ht="15.75" x14ac:dyDescent="0.25"/>
    <row r="48" spans="1:7" s="29" customFormat="1" ht="15.75" x14ac:dyDescent="0.25"/>
  </sheetData>
  <mergeCells count="12">
    <mergeCell ref="F22:H22"/>
    <mergeCell ref="F23:H23"/>
    <mergeCell ref="B18:E18"/>
    <mergeCell ref="B19:E19"/>
    <mergeCell ref="B20:D20"/>
    <mergeCell ref="B21:D21"/>
    <mergeCell ref="B22:D23"/>
    <mergeCell ref="B24:D24"/>
    <mergeCell ref="B25:D25"/>
    <mergeCell ref="D36:G36"/>
    <mergeCell ref="D44:G44"/>
    <mergeCell ref="D45:G45"/>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216"/>
  <sheetViews>
    <sheetView topLeftCell="A5" zoomScale="140" zoomScaleNormal="140" workbookViewId="0">
      <selection activeCell="C10" sqref="C10"/>
    </sheetView>
  </sheetViews>
  <sheetFormatPr baseColWidth="10" defaultRowHeight="15" x14ac:dyDescent="0.25"/>
  <cols>
    <col min="1" max="2" width="18.28515625" customWidth="1"/>
    <col min="3" max="4" width="13.42578125" customWidth="1"/>
    <col min="5" max="5" width="10.85546875" customWidth="1"/>
    <col min="6" max="6" width="12.7109375" customWidth="1"/>
    <col min="7" max="7" width="13.140625" customWidth="1"/>
    <col min="8" max="8" width="8.7109375" customWidth="1"/>
    <col min="9" max="9" width="15.28515625" customWidth="1"/>
    <col min="10" max="10" width="10" customWidth="1"/>
    <col min="11" max="11" width="7.28515625" customWidth="1"/>
    <col min="12" max="12" width="0.140625" customWidth="1"/>
    <col min="13" max="13" width="7.5703125" customWidth="1"/>
    <col min="14" max="14" width="9.28515625" customWidth="1"/>
  </cols>
  <sheetData>
    <row r="1" spans="1:10" s="26" customFormat="1" ht="15.75" customHeight="1" x14ac:dyDescent="0.3">
      <c r="A1" s="744" t="s">
        <v>232</v>
      </c>
      <c r="B1" s="744"/>
      <c r="C1" s="744"/>
      <c r="D1" s="744"/>
      <c r="E1" s="744"/>
      <c r="F1" s="744"/>
      <c r="G1" s="744"/>
      <c r="H1" s="745"/>
      <c r="I1" s="745"/>
      <c r="J1" s="745"/>
    </row>
    <row r="2" spans="1:10" s="26" customFormat="1" ht="15.75" customHeight="1" x14ac:dyDescent="0.3">
      <c r="A2" s="746" t="s">
        <v>0</v>
      </c>
      <c r="B2" s="747"/>
      <c r="C2" s="747"/>
      <c r="D2" s="748"/>
      <c r="E2" s="311"/>
      <c r="F2" s="749" t="s">
        <v>1</v>
      </c>
      <c r="G2" s="750"/>
      <c r="H2" s="750"/>
      <c r="I2" s="750"/>
      <c r="J2" s="751"/>
    </row>
    <row r="3" spans="1:10" s="26" customFormat="1" ht="15.75" customHeight="1" x14ac:dyDescent="0.3">
      <c r="A3" s="312" t="s">
        <v>2</v>
      </c>
      <c r="B3" s="752" t="str">
        <f>'Masque de Saisie'!G4</f>
        <v xml:space="preserve">ATGR </v>
      </c>
      <c r="C3" s="753"/>
      <c r="D3" s="754"/>
      <c r="E3" s="313"/>
      <c r="F3" s="314" t="s">
        <v>2</v>
      </c>
      <c r="G3" s="739" t="str">
        <f>'Masque de Saisie'!E26</f>
        <v xml:space="preserve">MARTINO </v>
      </c>
      <c r="H3" s="739"/>
      <c r="I3" s="739"/>
      <c r="J3" s="739"/>
    </row>
    <row r="4" spans="1:10" s="26" customFormat="1" ht="15.75" customHeight="1" x14ac:dyDescent="0.3">
      <c r="A4" s="312" t="s">
        <v>3</v>
      </c>
      <c r="B4" s="752" t="str">
        <f>'Masque de Saisie'!G5</f>
        <v xml:space="preserve">3 Rue Paul Vaillant Couturier 92300 Levallois-Perret </v>
      </c>
      <c r="C4" s="753"/>
      <c r="D4" s="754"/>
      <c r="E4" s="313"/>
      <c r="F4" s="314" t="s">
        <v>4</v>
      </c>
      <c r="G4" s="739" t="str">
        <f>'Masque de Saisie'!E27</f>
        <v xml:space="preserve">Hervé </v>
      </c>
      <c r="H4" s="739"/>
      <c r="I4" s="739"/>
      <c r="J4" s="739"/>
    </row>
    <row r="5" spans="1:10" s="26" customFormat="1" ht="15.75" customHeight="1" x14ac:dyDescent="0.3">
      <c r="A5" s="312"/>
      <c r="B5" s="736"/>
      <c r="C5" s="737"/>
      <c r="D5" s="738"/>
      <c r="E5" s="313"/>
      <c r="F5" s="314" t="s">
        <v>5</v>
      </c>
      <c r="G5" s="739" t="str">
        <f>'Masque de Saisie'!E29</f>
        <v>Responsable  Paie</v>
      </c>
      <c r="H5" s="739"/>
      <c r="I5" s="739"/>
      <c r="J5" s="739"/>
    </row>
    <row r="6" spans="1:10" s="26" customFormat="1" ht="15.75" customHeight="1" x14ac:dyDescent="0.3">
      <c r="A6" s="312" t="s">
        <v>6</v>
      </c>
      <c r="B6" s="740">
        <f>'Masque de Saisie'!G6</f>
        <v>34464426500029</v>
      </c>
      <c r="C6" s="741"/>
      <c r="D6" s="742"/>
      <c r="E6" s="315"/>
      <c r="F6" s="314" t="s">
        <v>7</v>
      </c>
      <c r="G6" s="739">
        <f>'Masque de Saisie'!E30</f>
        <v>450</v>
      </c>
      <c r="H6" s="739"/>
      <c r="I6" s="739"/>
      <c r="J6" s="739"/>
    </row>
    <row r="7" spans="1:10" s="26" customFormat="1" ht="15.75" customHeight="1" x14ac:dyDescent="0.3">
      <c r="A7" s="312" t="s">
        <v>8</v>
      </c>
      <c r="B7" s="736" t="str">
        <f>'Masque de Saisie'!G7</f>
        <v xml:space="preserve">7111C </v>
      </c>
      <c r="C7" s="737"/>
      <c r="D7" s="738"/>
      <c r="E7" s="313"/>
      <c r="F7" s="314" t="s">
        <v>9</v>
      </c>
      <c r="G7" s="743" t="str">
        <f>'Masque de Saisie'!E31</f>
        <v>1.63.11.59.52.55.</v>
      </c>
      <c r="H7" s="743"/>
      <c r="I7" s="743"/>
      <c r="J7" s="743"/>
    </row>
    <row r="8" spans="1:10" s="26" customFormat="1" ht="15.75" customHeight="1" x14ac:dyDescent="0.3">
      <c r="A8" s="312" t="s">
        <v>10</v>
      </c>
      <c r="B8" s="740"/>
      <c r="C8" s="741"/>
      <c r="D8" s="742"/>
      <c r="E8" s="315"/>
      <c r="F8" s="316" t="s">
        <v>3</v>
      </c>
      <c r="G8" s="739" t="str">
        <f>'Masque de Saisie'!E28</f>
        <v xml:space="preserve">3 Rue Paul  92700 Colombes </v>
      </c>
      <c r="H8" s="739"/>
      <c r="I8" s="739"/>
      <c r="J8" s="739"/>
    </row>
    <row r="9" spans="1:10" s="26" customFormat="1" ht="15.75" customHeight="1" x14ac:dyDescent="0.3">
      <c r="A9" s="312" t="s">
        <v>11</v>
      </c>
      <c r="B9" s="317">
        <f>'Masque de Saisie'!G9</f>
        <v>50</v>
      </c>
      <c r="C9" s="755" t="s">
        <v>786</v>
      </c>
      <c r="D9" s="738"/>
      <c r="E9" s="313"/>
      <c r="F9" s="756" t="s">
        <v>12</v>
      </c>
      <c r="G9" s="757"/>
      <c r="H9" s="318"/>
      <c r="I9" s="319">
        <f>'Masque de Saisie'!E33</f>
        <v>2</v>
      </c>
      <c r="J9" s="319" t="str">
        <f>'Masque de Saisie'!E32</f>
        <v>C</v>
      </c>
    </row>
    <row r="10" spans="1:10" s="26" customFormat="1" ht="15.75" customHeight="1" x14ac:dyDescent="0.3">
      <c r="A10" s="321" t="s">
        <v>13</v>
      </c>
      <c r="B10" s="322">
        <f>'Masque de Saisie'!E46</f>
        <v>123.40291447787524</v>
      </c>
      <c r="C10" s="319" t="s">
        <v>14</v>
      </c>
      <c r="D10" s="427">
        <f>'Masque de Saisie'!E43</f>
        <v>12.02</v>
      </c>
      <c r="E10" s="313"/>
      <c r="F10" s="736" t="s">
        <v>233</v>
      </c>
      <c r="G10" s="738"/>
      <c r="H10" s="371">
        <f>'Masque de Saisie'!E38</f>
        <v>46082</v>
      </c>
      <c r="I10" s="323" t="s">
        <v>15</v>
      </c>
      <c r="J10" s="371">
        <f>'Masque de Saisie'!E39</f>
        <v>46112</v>
      </c>
    </row>
    <row r="11" spans="1:10" s="26" customFormat="1" ht="33.75" customHeight="1" x14ac:dyDescent="0.3">
      <c r="A11" s="324"/>
      <c r="B11" s="726" t="s">
        <v>292</v>
      </c>
      <c r="C11" s="727"/>
      <c r="D11" s="728"/>
      <c r="E11" s="325"/>
      <c r="F11" s="324" t="s">
        <v>16</v>
      </c>
      <c r="G11" s="372">
        <f>'Masque de Saisie'!E39</f>
        <v>46112</v>
      </c>
      <c r="H11" s="66"/>
      <c r="I11" s="66"/>
      <c r="J11" s="373"/>
    </row>
    <row r="12" spans="1:10" s="26" customFormat="1" ht="15.75" customHeight="1" x14ac:dyDescent="0.3">
      <c r="A12" s="729"/>
      <c r="B12" s="730"/>
      <c r="C12" s="730"/>
      <c r="D12" s="730"/>
      <c r="E12" s="730"/>
      <c r="F12" s="730"/>
      <c r="G12" s="730"/>
      <c r="H12" s="730"/>
      <c r="I12" s="730"/>
      <c r="J12" s="730"/>
    </row>
    <row r="13" spans="1:10" s="26" customFormat="1" ht="19.5" customHeight="1" x14ac:dyDescent="0.3">
      <c r="A13" s="731" t="s">
        <v>17</v>
      </c>
      <c r="B13" s="732"/>
      <c r="C13" s="732"/>
      <c r="D13" s="732"/>
      <c r="E13" s="732"/>
      <c r="F13" s="733"/>
      <c r="G13" s="327">
        <v>151.66999999999999</v>
      </c>
      <c r="H13" s="324" t="s">
        <v>18</v>
      </c>
      <c r="I13" s="328">
        <f>J13/G13</f>
        <v>16.483154216390851</v>
      </c>
      <c r="J13" s="329">
        <f>'Masque de Saisie'!E41</f>
        <v>2500</v>
      </c>
    </row>
    <row r="14" spans="1:10" s="26" customFormat="1" ht="19.5" hidden="1" customHeight="1" x14ac:dyDescent="0.3">
      <c r="A14" s="731" t="s">
        <v>234</v>
      </c>
      <c r="B14" s="732"/>
      <c r="C14" s="732"/>
      <c r="D14" s="732"/>
      <c r="E14" s="732"/>
      <c r="F14" s="733"/>
      <c r="G14" s="324"/>
      <c r="H14" s="324"/>
      <c r="I14" s="328"/>
      <c r="J14" s="329"/>
    </row>
    <row r="15" spans="1:10" s="26" customFormat="1" ht="19.5" hidden="1" customHeight="1" x14ac:dyDescent="0.3">
      <c r="A15" s="731" t="s">
        <v>400</v>
      </c>
      <c r="B15" s="732"/>
      <c r="C15" s="732"/>
      <c r="D15" s="732"/>
      <c r="E15" s="732"/>
      <c r="F15" s="733"/>
      <c r="G15" s="330"/>
      <c r="H15" s="331"/>
      <c r="I15" s="328"/>
      <c r="J15" s="329"/>
    </row>
    <row r="16" spans="1:10" s="26" customFormat="1" ht="19.5" hidden="1" customHeight="1" x14ac:dyDescent="0.3">
      <c r="A16" s="731" t="s">
        <v>401</v>
      </c>
      <c r="B16" s="732"/>
      <c r="C16" s="732"/>
      <c r="D16" s="732"/>
      <c r="E16" s="732"/>
      <c r="F16" s="733"/>
      <c r="G16" s="330"/>
      <c r="H16" s="331"/>
      <c r="I16" s="328"/>
      <c r="J16" s="329"/>
    </row>
    <row r="17" spans="1:10" s="26" customFormat="1" ht="19.5" hidden="1" customHeight="1" x14ac:dyDescent="0.3">
      <c r="A17" s="731" t="s">
        <v>19</v>
      </c>
      <c r="B17" s="732"/>
      <c r="C17" s="732"/>
      <c r="D17" s="732"/>
      <c r="E17" s="732"/>
      <c r="F17" s="733"/>
      <c r="G17" s="330"/>
      <c r="H17" s="331" t="s">
        <v>18</v>
      </c>
      <c r="I17" s="328"/>
      <c r="J17" s="329"/>
    </row>
    <row r="18" spans="1:10" s="26" customFormat="1" ht="19.5" hidden="1" customHeight="1" x14ac:dyDescent="0.3">
      <c r="A18" s="731" t="s">
        <v>235</v>
      </c>
      <c r="B18" s="732"/>
      <c r="C18" s="732"/>
      <c r="D18" s="732"/>
      <c r="E18" s="732"/>
      <c r="F18" s="733"/>
      <c r="G18" s="330"/>
      <c r="H18" s="331" t="s">
        <v>18</v>
      </c>
      <c r="I18" s="328"/>
      <c r="J18" s="329">
        <f t="shared" ref="J18:J21" si="0">ROUND(G18*I18,2)</f>
        <v>0</v>
      </c>
    </row>
    <row r="19" spans="1:10" s="26" customFormat="1" ht="19.5" hidden="1" customHeight="1" x14ac:dyDescent="0.3">
      <c r="A19" s="731" t="s">
        <v>236</v>
      </c>
      <c r="B19" s="732"/>
      <c r="C19" s="732"/>
      <c r="D19" s="732"/>
      <c r="E19" s="732"/>
      <c r="F19" s="733"/>
      <c r="G19" s="330"/>
      <c r="H19" s="331" t="s">
        <v>18</v>
      </c>
      <c r="I19" s="328"/>
      <c r="J19" s="329">
        <f t="shared" si="0"/>
        <v>0</v>
      </c>
    </row>
    <row r="20" spans="1:10" s="26" customFormat="1" ht="19.5" hidden="1" customHeight="1" x14ac:dyDescent="0.3">
      <c r="A20" s="731" t="s">
        <v>237</v>
      </c>
      <c r="B20" s="732"/>
      <c r="C20" s="732"/>
      <c r="D20" s="732"/>
      <c r="E20" s="732"/>
      <c r="F20" s="733"/>
      <c r="G20" s="330"/>
      <c r="H20" s="331" t="s">
        <v>18</v>
      </c>
      <c r="I20" s="328"/>
      <c r="J20" s="329">
        <f t="shared" si="0"/>
        <v>0</v>
      </c>
    </row>
    <row r="21" spans="1:10" s="26" customFormat="1" ht="19.5" hidden="1" customHeight="1" x14ac:dyDescent="0.3">
      <c r="A21" s="731" t="s">
        <v>238</v>
      </c>
      <c r="B21" s="732"/>
      <c r="C21" s="732"/>
      <c r="D21" s="732"/>
      <c r="E21" s="732"/>
      <c r="F21" s="733"/>
      <c r="G21" s="457">
        <f>'Masque de Saisie'!E45</f>
        <v>0</v>
      </c>
      <c r="H21" s="331" t="s">
        <v>18</v>
      </c>
      <c r="I21" s="328">
        <f>ROUND(((J13+J16)*1.25/G13),6)</f>
        <v>20.603943000000001</v>
      </c>
      <c r="J21" s="329">
        <f t="shared" si="0"/>
        <v>0</v>
      </c>
    </row>
    <row r="22" spans="1:10" s="26" customFormat="1" ht="19.5" hidden="1" customHeight="1" x14ac:dyDescent="0.3">
      <c r="A22" s="731" t="s">
        <v>239</v>
      </c>
      <c r="B22" s="732"/>
      <c r="C22" s="732"/>
      <c r="D22" s="732"/>
      <c r="E22" s="732"/>
      <c r="F22" s="733"/>
      <c r="G22" s="330"/>
      <c r="H22" s="331" t="s">
        <v>20</v>
      </c>
      <c r="I22" s="324"/>
      <c r="J22" s="329"/>
    </row>
    <row r="23" spans="1:10" s="26" customFormat="1" ht="19.5" customHeight="1" x14ac:dyDescent="0.3">
      <c r="A23" s="731" t="s">
        <v>677</v>
      </c>
      <c r="B23" s="732"/>
      <c r="C23" s="732"/>
      <c r="D23" s="732"/>
      <c r="E23" s="732"/>
      <c r="F23" s="733"/>
      <c r="G23" s="326"/>
      <c r="H23" s="332"/>
      <c r="I23" s="320"/>
      <c r="J23" s="333">
        <f>-'Correction '!I47</f>
        <v>-909.09090909090912</v>
      </c>
    </row>
    <row r="24" spans="1:10" s="26" customFormat="1" ht="19.5" hidden="1" customHeight="1" x14ac:dyDescent="0.3">
      <c r="A24" s="731" t="s">
        <v>21</v>
      </c>
      <c r="B24" s="732"/>
      <c r="C24" s="732"/>
      <c r="D24" s="732"/>
      <c r="E24" s="732"/>
      <c r="F24" s="733"/>
      <c r="G24" s="326"/>
      <c r="H24" s="332"/>
      <c r="I24" s="320"/>
      <c r="J24" s="333"/>
    </row>
    <row r="25" spans="1:10" s="26" customFormat="1" ht="19.5" customHeight="1" x14ac:dyDescent="0.3">
      <c r="A25" s="731" t="s">
        <v>22</v>
      </c>
      <c r="B25" s="732"/>
      <c r="C25" s="732"/>
      <c r="D25" s="732"/>
      <c r="E25" s="732"/>
      <c r="F25" s="733"/>
      <c r="G25" s="326"/>
      <c r="H25" s="332"/>
      <c r="I25" s="320"/>
      <c r="J25" s="333">
        <f>'Correction '!F74</f>
        <v>443.16017918181808</v>
      </c>
    </row>
    <row r="26" spans="1:10" s="26" customFormat="1" ht="21" hidden="1" customHeight="1" x14ac:dyDescent="0.3">
      <c r="A26" s="718" t="s">
        <v>23</v>
      </c>
      <c r="B26" s="719"/>
      <c r="C26" s="719"/>
      <c r="D26" s="719"/>
      <c r="E26" s="719"/>
      <c r="F26" s="720"/>
      <c r="G26" s="326"/>
      <c r="H26" s="332"/>
      <c r="I26" s="320"/>
      <c r="J26" s="333"/>
    </row>
    <row r="27" spans="1:10" s="26" customFormat="1" ht="21" hidden="1" customHeight="1" x14ac:dyDescent="0.3">
      <c r="A27" s="718" t="s">
        <v>24</v>
      </c>
      <c r="B27" s="719"/>
      <c r="C27" s="719"/>
      <c r="D27" s="719"/>
      <c r="E27" s="719"/>
      <c r="F27" s="720"/>
      <c r="G27" s="326"/>
      <c r="H27" s="332"/>
      <c r="I27" s="320"/>
      <c r="J27" s="333"/>
    </row>
    <row r="28" spans="1:10" s="26" customFormat="1" ht="21" hidden="1" customHeight="1" x14ac:dyDescent="0.3">
      <c r="A28" s="718" t="s">
        <v>25</v>
      </c>
      <c r="B28" s="719"/>
      <c r="C28" s="719"/>
      <c r="D28" s="719"/>
      <c r="E28" s="719"/>
      <c r="F28" s="720"/>
      <c r="G28" s="326"/>
      <c r="H28" s="332"/>
      <c r="I28" s="320"/>
      <c r="J28" s="333"/>
    </row>
    <row r="29" spans="1:10" s="26" customFormat="1" ht="21" hidden="1" customHeight="1" x14ac:dyDescent="0.3">
      <c r="A29" s="718" t="s">
        <v>26</v>
      </c>
      <c r="B29" s="719"/>
      <c r="C29" s="719"/>
      <c r="D29" s="719"/>
      <c r="E29" s="719"/>
      <c r="F29" s="720"/>
      <c r="G29" s="326"/>
      <c r="H29" s="332"/>
      <c r="I29" s="320"/>
      <c r="J29" s="333"/>
    </row>
    <row r="30" spans="1:10" s="26" customFormat="1" ht="21" hidden="1" customHeight="1" x14ac:dyDescent="0.3">
      <c r="A30" s="718" t="s">
        <v>27</v>
      </c>
      <c r="B30" s="719"/>
      <c r="C30" s="719"/>
      <c r="D30" s="719"/>
      <c r="E30" s="719"/>
      <c r="F30" s="720"/>
      <c r="G30" s="326"/>
      <c r="H30" s="332"/>
      <c r="I30" s="320"/>
      <c r="J30" s="333"/>
    </row>
    <row r="31" spans="1:10" s="26" customFormat="1" ht="21" hidden="1" customHeight="1" x14ac:dyDescent="0.3">
      <c r="A31" s="718" t="s">
        <v>28</v>
      </c>
      <c r="B31" s="719"/>
      <c r="C31" s="719"/>
      <c r="D31" s="719"/>
      <c r="E31" s="719"/>
      <c r="F31" s="720"/>
      <c r="G31" s="326"/>
      <c r="H31" s="332"/>
      <c r="I31" s="320"/>
      <c r="J31" s="333"/>
    </row>
    <row r="32" spans="1:10" s="26" customFormat="1" ht="21" hidden="1" customHeight="1" x14ac:dyDescent="0.3">
      <c r="A32" s="718"/>
      <c r="B32" s="719"/>
      <c r="C32" s="719"/>
      <c r="D32" s="719"/>
      <c r="E32" s="719"/>
      <c r="F32" s="720"/>
      <c r="G32" s="326"/>
      <c r="H32" s="332"/>
      <c r="I32" s="320"/>
      <c r="J32" s="333"/>
    </row>
    <row r="33" spans="1:16" s="26" customFormat="1" ht="18" customHeight="1" x14ac:dyDescent="0.3">
      <c r="A33" s="721" t="s">
        <v>29</v>
      </c>
      <c r="B33" s="722"/>
      <c r="C33" s="334">
        <f>'Masque de Saisie'!E44</f>
        <v>4005</v>
      </c>
      <c r="D33" s="723" t="s">
        <v>30</v>
      </c>
      <c r="E33" s="723"/>
      <c r="F33" s="723"/>
      <c r="G33" s="723"/>
      <c r="H33" s="723"/>
      <c r="I33" s="723"/>
      <c r="J33" s="430">
        <f>SUM(J13:J32)</f>
        <v>2034.069270090909</v>
      </c>
    </row>
    <row r="34" spans="1:16" s="22" customFormat="1" ht="24" customHeight="1" x14ac:dyDescent="0.2">
      <c r="A34" s="724" t="s">
        <v>31</v>
      </c>
      <c r="B34" s="724"/>
      <c r="C34" s="58" t="s">
        <v>32</v>
      </c>
      <c r="D34" s="374" t="s">
        <v>33</v>
      </c>
      <c r="E34" s="374" t="s">
        <v>34</v>
      </c>
      <c r="F34" s="375" t="s">
        <v>35</v>
      </c>
      <c r="G34" s="375" t="s">
        <v>36</v>
      </c>
      <c r="I34" s="23"/>
      <c r="J34" s="23"/>
      <c r="K34" s="24"/>
    </row>
    <row r="35" spans="1:16" ht="12" customHeight="1" x14ac:dyDescent="0.25">
      <c r="A35" s="725" t="s">
        <v>37</v>
      </c>
      <c r="B35" s="725"/>
      <c r="C35" s="1"/>
      <c r="D35" s="3"/>
      <c r="E35" s="3"/>
      <c r="F35" s="1"/>
      <c r="G35" s="1"/>
    </row>
    <row r="36" spans="1:16" ht="17.45" customHeight="1" x14ac:dyDescent="0.25">
      <c r="A36" s="701" t="s">
        <v>748</v>
      </c>
      <c r="B36" s="701"/>
      <c r="C36" s="15">
        <f>J33</f>
        <v>2034.069270090909</v>
      </c>
      <c r="D36" s="35"/>
      <c r="E36" s="36">
        <f t="shared" ref="E36" si="1" xml:space="preserve"> VLOOKUP(A36,TAUX2023,4,FALSE)</f>
        <v>0.13</v>
      </c>
      <c r="F36" s="42">
        <f>ROUND(C36*D36,2)</f>
        <v>0</v>
      </c>
      <c r="G36" s="42">
        <f>ROUND(C36*E36,2)</f>
        <v>264.43</v>
      </c>
      <c r="I36" s="2"/>
      <c r="J36" s="2"/>
      <c r="O36" s="713"/>
      <c r="P36" s="713"/>
    </row>
    <row r="37" spans="1:16" ht="17.45" customHeight="1" x14ac:dyDescent="0.25">
      <c r="A37" s="701"/>
      <c r="B37" s="701"/>
      <c r="C37" s="41"/>
      <c r="D37" s="171"/>
      <c r="E37" s="36"/>
      <c r="F37" s="42"/>
      <c r="G37" s="15"/>
      <c r="O37" s="713"/>
      <c r="P37" s="713"/>
    </row>
    <row r="38" spans="1:16" ht="17.45" customHeight="1" x14ac:dyDescent="0.25">
      <c r="A38" s="714" t="s">
        <v>198</v>
      </c>
      <c r="B38" s="715"/>
      <c r="C38" s="15">
        <f>IF(I9=2,J33,0)</f>
        <v>2034.069270090909</v>
      </c>
      <c r="D38" s="35">
        <f>'Masque de Saisie'!G15</f>
        <v>0.01</v>
      </c>
      <c r="E38" s="35">
        <f>'Masque de Saisie'!H15</f>
        <v>0.02</v>
      </c>
      <c r="F38" s="42">
        <f t="shared" ref="F38:F67" si="2">ROUND(C38*D38,2)</f>
        <v>20.34</v>
      </c>
      <c r="G38" s="15">
        <f t="shared" ref="G38:G70" si="3">ROUND(C38*E38,2)</f>
        <v>40.68</v>
      </c>
      <c r="I38" s="2"/>
      <c r="O38" s="713"/>
      <c r="P38" s="713"/>
    </row>
    <row r="39" spans="1:16" ht="18.75" hidden="1" customHeight="1" x14ac:dyDescent="0.25">
      <c r="A39" s="714" t="s">
        <v>250</v>
      </c>
      <c r="B39" s="715"/>
      <c r="C39" s="42">
        <f>IF(I9=2,0,J33)</f>
        <v>0</v>
      </c>
      <c r="D39" s="35">
        <f>'Masque de Saisie'!G12</f>
        <v>0.01</v>
      </c>
      <c r="E39" s="35">
        <f>'Masque de Saisie'!H12</f>
        <v>0.02</v>
      </c>
      <c r="F39" s="42">
        <f t="shared" si="2"/>
        <v>0</v>
      </c>
      <c r="G39" s="15">
        <f t="shared" si="3"/>
        <v>0</v>
      </c>
      <c r="I39" s="2"/>
      <c r="O39" s="713"/>
      <c r="P39" s="713"/>
    </row>
    <row r="40" spans="1:16" ht="18.75" hidden="1" customHeight="1" x14ac:dyDescent="0.25">
      <c r="A40" s="714" t="s">
        <v>252</v>
      </c>
      <c r="B40" s="715"/>
      <c r="C40" s="42">
        <f>C39</f>
        <v>0</v>
      </c>
      <c r="D40" s="35">
        <f>'Masque de Saisie'!G13</f>
        <v>0.01</v>
      </c>
      <c r="E40" s="35">
        <f>'Masque de Saisie'!H13</f>
        <v>0.02</v>
      </c>
      <c r="F40" s="42">
        <f t="shared" si="2"/>
        <v>0</v>
      </c>
      <c r="G40" s="15">
        <f t="shared" si="3"/>
        <v>0</v>
      </c>
      <c r="I40" s="2"/>
      <c r="O40" s="713"/>
      <c r="P40" s="713"/>
    </row>
    <row r="41" spans="1:16" ht="15.75" customHeight="1" x14ac:dyDescent="0.3">
      <c r="A41" s="714" t="s">
        <v>253</v>
      </c>
      <c r="B41" s="715"/>
      <c r="C41" s="15">
        <f>C38</f>
        <v>2034.069270090909</v>
      </c>
      <c r="D41" s="35">
        <f>'Masque de Saisie'!G16</f>
        <v>0.01</v>
      </c>
      <c r="E41" s="35">
        <f>'Masque de Saisie'!H16</f>
        <v>0.02</v>
      </c>
      <c r="F41" s="42">
        <f t="shared" si="2"/>
        <v>20.34</v>
      </c>
      <c r="G41" s="15">
        <f t="shared" si="3"/>
        <v>40.68</v>
      </c>
      <c r="I41" s="26"/>
      <c r="J41" s="44"/>
      <c r="O41" s="713"/>
      <c r="P41" s="713"/>
    </row>
    <row r="42" spans="1:16" ht="18.75" hidden="1" customHeight="1" x14ac:dyDescent="0.3">
      <c r="A42" s="701" t="s">
        <v>202</v>
      </c>
      <c r="B42" s="701"/>
      <c r="C42" s="42">
        <f>IF(I9=2,IF(E41=0,IF(J33&gt;C33,C33,J33),0),0)</f>
        <v>0</v>
      </c>
      <c r="D42" s="35"/>
      <c r="E42" s="36">
        <f>'Masque de Saisie'!H18</f>
        <v>1.4999999999999999E-2</v>
      </c>
      <c r="F42" s="42">
        <f>ROUND(C42*D42,2)</f>
        <v>0</v>
      </c>
      <c r="G42" s="15">
        <f>ROUND(C42*E42,2)</f>
        <v>0</v>
      </c>
      <c r="I42" s="26"/>
      <c r="J42" s="44"/>
      <c r="O42" s="186"/>
      <c r="P42" s="186"/>
    </row>
    <row r="43" spans="1:16" ht="18.75" hidden="1" customHeight="1" x14ac:dyDescent="0.3">
      <c r="A43" s="708" t="s">
        <v>393</v>
      </c>
      <c r="B43" s="708"/>
      <c r="C43" s="221">
        <f>J33</f>
        <v>2034.069270090909</v>
      </c>
      <c r="D43" s="35">
        <f>'Masque de Saisie'!G17</f>
        <v>0</v>
      </c>
      <c r="E43" s="36">
        <f>'Masque de Saisie'!H17</f>
        <v>0</v>
      </c>
      <c r="F43" s="42">
        <f>ROUND(C43*D43,2)</f>
        <v>0</v>
      </c>
      <c r="G43" s="15">
        <f>ROUND(C43*E43,2)</f>
        <v>0</v>
      </c>
      <c r="I43" s="26"/>
      <c r="J43" s="44"/>
      <c r="O43" s="186"/>
      <c r="P43" s="186"/>
    </row>
    <row r="44" spans="1:16" ht="18.75" hidden="1" customHeight="1" x14ac:dyDescent="0.3">
      <c r="A44" s="716"/>
      <c r="B44" s="717"/>
      <c r="C44" s="4"/>
      <c r="D44" s="4"/>
      <c r="E44" s="4"/>
      <c r="F44" s="4"/>
      <c r="G44" s="4"/>
      <c r="I44" s="26"/>
      <c r="J44" s="26"/>
      <c r="O44" s="713"/>
      <c r="P44" s="713"/>
    </row>
    <row r="45" spans="1:16" ht="18.75" hidden="1" customHeight="1" x14ac:dyDescent="0.3">
      <c r="A45" s="699"/>
      <c r="B45" s="699"/>
      <c r="C45" s="15"/>
      <c r="D45" s="35"/>
      <c r="E45" s="36"/>
      <c r="F45" s="42"/>
      <c r="G45" s="15"/>
      <c r="I45" s="26"/>
      <c r="J45" s="26"/>
      <c r="O45" s="713"/>
      <c r="P45" s="713"/>
    </row>
    <row r="46" spans="1:16" ht="18.75" hidden="1" customHeight="1" x14ac:dyDescent="0.3">
      <c r="A46" s="699"/>
      <c r="B46" s="699"/>
      <c r="C46" s="15"/>
      <c r="D46" s="35"/>
      <c r="E46" s="36"/>
      <c r="F46" s="42"/>
      <c r="G46" s="15"/>
      <c r="I46" s="26"/>
      <c r="J46" s="26"/>
      <c r="O46" s="713"/>
      <c r="P46" s="713"/>
    </row>
    <row r="47" spans="1:16" ht="18.75" customHeight="1" x14ac:dyDescent="0.25">
      <c r="A47" s="702" t="s">
        <v>38</v>
      </c>
      <c r="B47" s="702"/>
      <c r="C47" s="17">
        <f>J33</f>
        <v>2034.069270090909</v>
      </c>
      <c r="D47" s="35"/>
      <c r="E47" s="36">
        <f>'Masque de Saisie'!H21</f>
        <v>1.7999999999999999E-2</v>
      </c>
      <c r="F47" s="42">
        <f t="shared" si="2"/>
        <v>0</v>
      </c>
      <c r="G47" s="15">
        <f t="shared" si="3"/>
        <v>36.61</v>
      </c>
      <c r="L47" s="654"/>
    </row>
    <row r="48" spans="1:16" ht="16.5" customHeight="1" x14ac:dyDescent="0.25">
      <c r="A48" s="702" t="s">
        <v>39</v>
      </c>
      <c r="B48" s="702"/>
      <c r="C48" s="18"/>
      <c r="D48" s="35"/>
      <c r="E48" s="36"/>
      <c r="F48" s="42"/>
      <c r="G48" s="15"/>
      <c r="L48" s="654"/>
    </row>
    <row r="49" spans="1:17" ht="18" customHeight="1" x14ac:dyDescent="0.3">
      <c r="A49" s="708" t="s">
        <v>40</v>
      </c>
      <c r="B49" s="708"/>
      <c r="C49" s="42">
        <f>IF(J33&gt;C33,C33,J33)</f>
        <v>2034.069270090909</v>
      </c>
      <c r="D49" s="35">
        <f>VLOOKUP(A49,TAUX2023,3,FALSE)</f>
        <v>6.9000000000000006E-2</v>
      </c>
      <c r="E49" s="36">
        <f xml:space="preserve"> VLOOKUP(A49,TAUX2023,4,FALSE)</f>
        <v>8.5500000000000007E-2</v>
      </c>
      <c r="F49" s="42">
        <f t="shared" si="2"/>
        <v>140.35</v>
      </c>
      <c r="G49" s="15">
        <f t="shared" si="3"/>
        <v>173.91</v>
      </c>
      <c r="I49" s="668"/>
      <c r="J49" s="668"/>
    </row>
    <row r="50" spans="1:17" ht="18" customHeight="1" x14ac:dyDescent="0.3">
      <c r="A50" s="708" t="s">
        <v>41</v>
      </c>
      <c r="B50" s="708"/>
      <c r="C50" s="15">
        <f>J33</f>
        <v>2034.069270090909</v>
      </c>
      <c r="D50" s="35">
        <f>VLOOKUP(A50,TAUX2023,3,FALSE)</f>
        <v>4.0000000000000001E-3</v>
      </c>
      <c r="E50" s="36">
        <f xml:space="preserve"> VLOOKUP(A50,TAUX2023,4,FALSE)</f>
        <v>2.0199999999999999E-2</v>
      </c>
      <c r="F50" s="42">
        <f t="shared" si="2"/>
        <v>8.14</v>
      </c>
      <c r="G50" s="15">
        <f t="shared" si="3"/>
        <v>41.09</v>
      </c>
      <c r="I50" s="26"/>
      <c r="J50" s="44"/>
    </row>
    <row r="51" spans="1:17" ht="13.5" customHeight="1" x14ac:dyDescent="0.3">
      <c r="A51" s="708" t="s">
        <v>42</v>
      </c>
      <c r="B51" s="708"/>
      <c r="C51" s="15">
        <f>IF(J33&gt;C33,C33,J33)</f>
        <v>2034.069270090909</v>
      </c>
      <c r="D51" s="171">
        <f>'BP FORMAT JUILLET 2023'!D53</f>
        <v>4.0099999999999997E-2</v>
      </c>
      <c r="E51" s="172">
        <f>'BP FORMAT JUILLET 2023'!E53</f>
        <v>6.0100000000000001E-2</v>
      </c>
      <c r="F51" s="42">
        <f t="shared" si="2"/>
        <v>81.569999999999993</v>
      </c>
      <c r="G51" s="15">
        <f t="shared" si="3"/>
        <v>122.25</v>
      </c>
      <c r="H51" s="5"/>
      <c r="I51" s="26"/>
      <c r="J51" s="44"/>
      <c r="K51" s="7"/>
      <c r="M51" s="711"/>
      <c r="N51" s="711"/>
      <c r="O51" s="711"/>
    </row>
    <row r="52" spans="1:17" ht="15" hidden="1" customHeight="1" x14ac:dyDescent="0.3">
      <c r="A52" s="708" t="s">
        <v>43</v>
      </c>
      <c r="B52" s="708"/>
      <c r="C52" s="15">
        <f>IF(J33&gt;8*C33,7*C33,IF(J33&gt;C33,J33-C33,0))</f>
        <v>0</v>
      </c>
      <c r="D52" s="171">
        <f>'BP FORMAT JUILLET 2023'!D54</f>
        <v>0</v>
      </c>
      <c r="E52" s="172">
        <f>'BP FORMAT JUILLET 2023'!E54</f>
        <v>0</v>
      </c>
      <c r="F52" s="42">
        <f t="shared" si="2"/>
        <v>0</v>
      </c>
      <c r="G52" s="15">
        <f t="shared" si="3"/>
        <v>0</v>
      </c>
      <c r="H52" s="5"/>
      <c r="I52" s="26"/>
      <c r="J52" s="44"/>
      <c r="K52" s="7"/>
      <c r="M52" s="712"/>
      <c r="N52" s="712"/>
      <c r="O52" s="11"/>
      <c r="P52" s="13"/>
      <c r="Q52" s="11"/>
    </row>
    <row r="53" spans="1:17" ht="10.5" hidden="1" customHeight="1" x14ac:dyDescent="0.25">
      <c r="A53" s="699"/>
      <c r="B53" s="699"/>
      <c r="C53" s="15"/>
      <c r="D53" s="171"/>
      <c r="E53" s="172"/>
      <c r="F53" s="42"/>
      <c r="G53" s="15"/>
      <c r="H53" s="5"/>
      <c r="I53" s="6"/>
      <c r="J53" s="7"/>
      <c r="K53" s="7"/>
      <c r="M53" s="57"/>
      <c r="N53" s="57"/>
      <c r="O53" s="11"/>
      <c r="P53" s="13"/>
      <c r="Q53" s="11"/>
    </row>
    <row r="54" spans="1:17" ht="10.5" hidden="1" customHeight="1" x14ac:dyDescent="0.3">
      <c r="A54" s="699"/>
      <c r="B54" s="699"/>
      <c r="C54" s="15"/>
      <c r="D54" s="171"/>
      <c r="E54" s="172"/>
      <c r="F54" s="42"/>
      <c r="G54" s="15"/>
      <c r="H54" s="5"/>
      <c r="I54" s="668"/>
      <c r="J54" s="668"/>
      <c r="K54" s="7"/>
      <c r="M54" s="57"/>
      <c r="N54" s="57"/>
      <c r="O54" s="11"/>
      <c r="P54" s="13"/>
      <c r="Q54" s="11"/>
    </row>
    <row r="55" spans="1:17" ht="10.5" hidden="1" customHeight="1" x14ac:dyDescent="0.3">
      <c r="A55" s="699"/>
      <c r="B55" s="699"/>
      <c r="C55" s="175"/>
      <c r="D55" s="171"/>
      <c r="E55" s="172"/>
      <c r="F55" s="42"/>
      <c r="G55" s="15"/>
      <c r="H55" s="5"/>
      <c r="I55" s="26"/>
      <c r="J55" s="44"/>
      <c r="K55" s="7"/>
      <c r="M55" s="57"/>
      <c r="N55" s="57"/>
      <c r="O55" s="11"/>
      <c r="P55" s="13"/>
      <c r="Q55" s="11"/>
    </row>
    <row r="56" spans="1:17" ht="10.5" hidden="1" customHeight="1" x14ac:dyDescent="0.3">
      <c r="A56" s="699"/>
      <c r="B56" s="699"/>
      <c r="C56" s="15"/>
      <c r="D56" s="171"/>
      <c r="E56" s="172"/>
      <c r="F56" s="42"/>
      <c r="G56" s="15"/>
      <c r="H56" s="5"/>
      <c r="I56" s="26"/>
      <c r="J56" s="44"/>
      <c r="K56" s="7"/>
      <c r="M56" s="57"/>
      <c r="N56" s="57"/>
      <c r="O56" s="11"/>
      <c r="P56" s="13"/>
      <c r="Q56" s="11"/>
    </row>
    <row r="57" spans="1:17" ht="17.25" customHeight="1" x14ac:dyDescent="0.3">
      <c r="A57" s="707" t="s">
        <v>44</v>
      </c>
      <c r="B57" s="707"/>
      <c r="D57" s="35"/>
      <c r="E57" s="36"/>
      <c r="F57" s="42"/>
      <c r="G57" s="15"/>
      <c r="H57" s="5"/>
      <c r="I57" s="26"/>
      <c r="J57" s="44"/>
      <c r="M57" s="703"/>
      <c r="N57" s="703"/>
      <c r="P57" s="14"/>
      <c r="Q57" s="2"/>
    </row>
    <row r="58" spans="1:17" ht="15.6" customHeight="1" x14ac:dyDescent="0.3">
      <c r="A58" s="708" t="s">
        <v>749</v>
      </c>
      <c r="B58" s="708"/>
      <c r="C58" s="15">
        <f>J33</f>
        <v>2034.069270090909</v>
      </c>
      <c r="D58" s="171"/>
      <c r="E58" s="172">
        <f xml:space="preserve"> VLOOKUP(A58,TAUX2023,4,FALSE)</f>
        <v>5.2499999999999998E-2</v>
      </c>
      <c r="F58" s="42">
        <f t="shared" si="2"/>
        <v>0</v>
      </c>
      <c r="G58" s="15">
        <f>ROUND(C58*E58,2)</f>
        <v>106.79</v>
      </c>
      <c r="H58" s="5"/>
      <c r="I58" s="26"/>
      <c r="J58" s="44"/>
      <c r="M58" s="50"/>
      <c r="N58" s="50"/>
      <c r="P58" s="14"/>
      <c r="Q58" s="2"/>
    </row>
    <row r="59" spans="1:17" ht="15.6" customHeight="1" x14ac:dyDescent="0.25">
      <c r="A59" s="708"/>
      <c r="B59" s="708"/>
      <c r="C59" s="42"/>
      <c r="D59" s="171"/>
      <c r="E59" s="172"/>
      <c r="F59" s="42"/>
      <c r="G59" s="15"/>
      <c r="H59" s="5"/>
      <c r="M59" s="50"/>
      <c r="N59" s="50"/>
      <c r="P59" s="14"/>
      <c r="Q59" s="2"/>
    </row>
    <row r="60" spans="1:17" ht="15.6" customHeight="1" x14ac:dyDescent="0.25">
      <c r="A60" s="702" t="s">
        <v>45</v>
      </c>
      <c r="B60" s="702"/>
      <c r="C60" s="20"/>
      <c r="D60" s="171"/>
      <c r="E60" s="172"/>
      <c r="F60" s="42">
        <f t="shared" si="2"/>
        <v>0</v>
      </c>
      <c r="G60" s="15"/>
      <c r="H60" s="8"/>
      <c r="M60" s="703"/>
      <c r="N60" s="703"/>
      <c r="O60" s="12"/>
    </row>
    <row r="61" spans="1:17" ht="16.5" customHeight="1" x14ac:dyDescent="0.25">
      <c r="A61" s="704" t="s">
        <v>205</v>
      </c>
      <c r="B61" s="704"/>
      <c r="C61" s="41">
        <f>IF(J33&gt;4*C33,4*C33,J33)</f>
        <v>2034.069270090909</v>
      </c>
      <c r="D61" s="171"/>
      <c r="E61" s="172">
        <f>IF(H10&gt;=45778,4%,4.05%)+'TABLE DES TAUX 2026 '!E14</f>
        <v>4.2500000000000003E-2</v>
      </c>
      <c r="F61" s="42">
        <f t="shared" si="2"/>
        <v>0</v>
      </c>
      <c r="G61" s="15">
        <f t="shared" si="3"/>
        <v>86.45</v>
      </c>
      <c r="H61" s="8"/>
      <c r="M61" s="50"/>
      <c r="N61" s="50"/>
      <c r="O61" s="12"/>
    </row>
    <row r="62" spans="1:17" ht="12.75" hidden="1" customHeight="1" x14ac:dyDescent="0.25">
      <c r="A62" s="709"/>
      <c r="B62" s="710"/>
      <c r="C62" s="41"/>
      <c r="D62" s="171"/>
      <c r="E62" s="172"/>
      <c r="F62" s="42"/>
      <c r="G62" s="15"/>
      <c r="H62" s="8"/>
      <c r="M62" s="50"/>
      <c r="N62" s="50"/>
      <c r="O62" s="12"/>
    </row>
    <row r="63" spans="1:17" ht="18" customHeight="1" x14ac:dyDescent="0.25">
      <c r="A63" s="705" t="s">
        <v>276</v>
      </c>
      <c r="B63" s="706"/>
      <c r="C63" s="41">
        <f>IF(I9=2,C61,0)</f>
        <v>2034.069270090909</v>
      </c>
      <c r="D63" s="173">
        <f>VLOOKUP(A63,TAUX2023,3,FALSE)</f>
        <v>2.4000000000000001E-4</v>
      </c>
      <c r="E63" s="174">
        <f xml:space="preserve"> VLOOKUP(A63,TAUX2023,4,FALSE)</f>
        <v>3.6000000000000002E-4</v>
      </c>
      <c r="F63" s="42">
        <f t="shared" si="2"/>
        <v>0.49</v>
      </c>
      <c r="G63" s="15">
        <f t="shared" si="3"/>
        <v>0.73</v>
      </c>
      <c r="H63" s="8"/>
      <c r="M63" s="50"/>
      <c r="N63" s="50"/>
      <c r="O63" s="12"/>
    </row>
    <row r="64" spans="1:17" ht="12" customHeight="1" x14ac:dyDescent="0.25">
      <c r="A64" s="707" t="s">
        <v>46</v>
      </c>
      <c r="B64" s="707"/>
      <c r="C64" s="15"/>
      <c r="D64" s="173"/>
      <c r="E64" s="174"/>
      <c r="F64" s="42">
        <f t="shared" si="2"/>
        <v>0</v>
      </c>
      <c r="G64" s="15">
        <f>E119</f>
        <v>131.52000000000001</v>
      </c>
      <c r="M64" s="703"/>
      <c r="N64" s="703"/>
      <c r="O64" s="5"/>
    </row>
    <row r="65" spans="1:12" ht="33.75" hidden="1" customHeight="1" x14ac:dyDescent="0.25">
      <c r="A65" s="698" t="s">
        <v>48</v>
      </c>
      <c r="B65" s="698"/>
      <c r="C65" s="20"/>
      <c r="D65" s="35"/>
      <c r="E65" s="16"/>
      <c r="F65" s="42"/>
      <c r="G65" s="15"/>
    </row>
    <row r="66" spans="1:12" ht="21.75" customHeight="1" x14ac:dyDescent="0.25">
      <c r="A66" s="701" t="s">
        <v>49</v>
      </c>
      <c r="B66" s="701"/>
      <c r="C66" s="42">
        <f>'HEURES SUPPLEMENTAIRES '!F136</f>
        <v>2079.8330578643181</v>
      </c>
      <c r="D66" s="171">
        <f>VLOOKUP(A66,TAUX2023,3,FALSE)</f>
        <v>6.8000000000000005E-2</v>
      </c>
      <c r="E66" s="184"/>
      <c r="F66" s="42">
        <f t="shared" si="2"/>
        <v>141.43</v>
      </c>
      <c r="G66" s="15"/>
      <c r="J66" s="2"/>
    </row>
    <row r="67" spans="1:12" ht="21.75" customHeight="1" x14ac:dyDescent="0.25">
      <c r="A67" s="701" t="s">
        <v>50</v>
      </c>
      <c r="B67" s="701"/>
      <c r="C67" s="15">
        <f>C66</f>
        <v>2079.8330578643181</v>
      </c>
      <c r="D67" s="171">
        <f>VLOOKUP(A67,TAUX2023,3,FALSE)</f>
        <v>2.9000000000000001E-2</v>
      </c>
      <c r="E67" s="184"/>
      <c r="F67" s="42">
        <f t="shared" si="2"/>
        <v>60.32</v>
      </c>
      <c r="G67" s="15"/>
      <c r="J67" s="2"/>
      <c r="K67" s="2"/>
    </row>
    <row r="68" spans="1:12" ht="21" hidden="1" customHeight="1" x14ac:dyDescent="0.25">
      <c r="A68" s="701" t="s">
        <v>51</v>
      </c>
      <c r="B68" s="701"/>
      <c r="C68" s="15">
        <f>'BP FORMAT JUILLET 2023'!C68</f>
        <v>0</v>
      </c>
      <c r="D68" s="171">
        <f>+D66</f>
        <v>6.8000000000000005E-2</v>
      </c>
      <c r="E68" s="184"/>
      <c r="F68" s="42">
        <f>ROUND(C68*D68,2)</f>
        <v>0</v>
      </c>
      <c r="G68" s="15">
        <f t="shared" si="3"/>
        <v>0</v>
      </c>
      <c r="J68" s="2"/>
      <c r="K68" s="2"/>
    </row>
    <row r="69" spans="1:12" ht="21" hidden="1" customHeight="1" x14ac:dyDescent="0.25">
      <c r="A69" s="701" t="s">
        <v>52</v>
      </c>
      <c r="B69" s="701"/>
      <c r="C69" s="15">
        <f>'BP FORMAT JUILLET 2023'!C69</f>
        <v>0</v>
      </c>
      <c r="D69" s="171">
        <f>+D68</f>
        <v>6.8000000000000005E-2</v>
      </c>
      <c r="E69" s="184"/>
      <c r="F69" s="42">
        <f>ROUND(C69*D69,2)</f>
        <v>0</v>
      </c>
      <c r="G69" s="15">
        <f t="shared" si="3"/>
        <v>0</v>
      </c>
      <c r="J69" s="2"/>
      <c r="K69" s="2"/>
    </row>
    <row r="70" spans="1:12" ht="21" hidden="1" customHeight="1" x14ac:dyDescent="0.25">
      <c r="A70" s="701" t="s">
        <v>53</v>
      </c>
      <c r="B70" s="701"/>
      <c r="C70" s="15">
        <f>C68+C69</f>
        <v>0</v>
      </c>
      <c r="D70" s="171">
        <f>+D67</f>
        <v>2.9000000000000001E-2</v>
      </c>
      <c r="E70" s="184"/>
      <c r="F70" s="42">
        <f>ROUND(C70*D70,2)</f>
        <v>0</v>
      </c>
      <c r="G70" s="15">
        <f t="shared" si="3"/>
        <v>0</v>
      </c>
      <c r="J70" s="2"/>
      <c r="K70" s="2"/>
    </row>
    <row r="71" spans="1:12" ht="27" customHeight="1" x14ac:dyDescent="0.25">
      <c r="A71" s="698" t="s">
        <v>230</v>
      </c>
      <c r="B71" s="698"/>
      <c r="C71" s="15"/>
      <c r="D71" s="35"/>
      <c r="E71" s="16"/>
      <c r="F71" s="15"/>
      <c r="G71" s="42">
        <f>-'HEURES SUPPLEMENTAIRES '!B145-'RGDU BP JANVIER '!C45</f>
        <v>-352.91</v>
      </c>
      <c r="J71" s="2"/>
      <c r="K71" s="2"/>
    </row>
    <row r="72" spans="1:12" ht="27" hidden="1" customHeight="1" x14ac:dyDescent="0.25">
      <c r="A72" s="699" t="s">
        <v>54</v>
      </c>
      <c r="B72" s="699"/>
      <c r="C72" s="52">
        <f>'HEURES SUPPLEMENTAIRES '!F141</f>
        <v>0</v>
      </c>
      <c r="D72" s="35"/>
      <c r="E72" s="170">
        <f>'HEURES SUPPLEMENTAIRES '!D57</f>
        <v>0.11310000000000001</v>
      </c>
      <c r="F72" s="21">
        <f>-ROUND(C72*E72,2)</f>
        <v>0</v>
      </c>
      <c r="G72" s="19"/>
      <c r="I72" s="2"/>
      <c r="J72" s="2"/>
      <c r="K72" s="2"/>
    </row>
    <row r="73" spans="1:12" ht="18.75" customHeight="1" x14ac:dyDescent="0.25">
      <c r="A73" s="699" t="s">
        <v>55</v>
      </c>
      <c r="B73" s="699"/>
      <c r="C73" s="15"/>
      <c r="D73" s="15"/>
      <c r="E73" s="15"/>
      <c r="F73" s="15">
        <f>SUM(F36:F72)</f>
        <v>472.98</v>
      </c>
      <c r="G73" s="15">
        <f>SUM(G36:G72)</f>
        <v>692.23</v>
      </c>
      <c r="H73" s="2"/>
      <c r="I73" s="2"/>
    </row>
    <row r="74" spans="1:12" ht="20.25" customHeight="1" x14ac:dyDescent="0.25">
      <c r="A74" s="699" t="s">
        <v>380</v>
      </c>
      <c r="B74" s="699"/>
      <c r="C74" s="15"/>
      <c r="D74" s="15"/>
      <c r="E74" s="20"/>
      <c r="F74" s="15">
        <f>'Masque de Saisie'!E47*'Masque de Saisie'!E48</f>
        <v>84</v>
      </c>
      <c r="G74" s="222">
        <f>'Masque de Saisie'!E47*'Masque de Saisie'!E49</f>
        <v>84</v>
      </c>
    </row>
    <row r="75" spans="1:12" ht="20.25" customHeight="1" x14ac:dyDescent="0.25">
      <c r="A75" s="700" t="s">
        <v>56</v>
      </c>
      <c r="B75" s="700"/>
      <c r="C75" s="43"/>
      <c r="D75" s="43"/>
      <c r="E75" s="28"/>
      <c r="F75" s="43">
        <f>'Masque de Saisie'!E50</f>
        <v>45.4</v>
      </c>
      <c r="G75" s="28"/>
    </row>
    <row r="76" spans="1:12" ht="19.5" hidden="1" customHeight="1" x14ac:dyDescent="0.25">
      <c r="A76" s="700"/>
      <c r="B76" s="700"/>
      <c r="C76" s="43"/>
      <c r="D76" s="43"/>
      <c r="E76" s="28"/>
      <c r="F76" s="43"/>
      <c r="G76" s="28"/>
      <c r="I76" s="9"/>
      <c r="J76" s="10"/>
      <c r="K76" s="9"/>
    </row>
    <row r="77" spans="1:12" ht="19.5" customHeight="1" x14ac:dyDescent="0.25">
      <c r="A77" s="734" t="s">
        <v>462</v>
      </c>
      <c r="B77" s="735"/>
      <c r="C77" s="43"/>
      <c r="D77" s="43"/>
      <c r="E77" s="28"/>
      <c r="F77" s="594">
        <f>'MATRICE IJSS ABSENCE '!G31</f>
        <v>349.89</v>
      </c>
      <c r="G77" s="28"/>
      <c r="I77" s="9"/>
      <c r="J77" s="10"/>
      <c r="K77" s="9"/>
    </row>
    <row r="78" spans="1:12" ht="18" customHeight="1" x14ac:dyDescent="0.25">
      <c r="A78" s="682" t="s">
        <v>65</v>
      </c>
      <c r="B78" s="682"/>
      <c r="C78" s="682"/>
      <c r="D78" s="682"/>
      <c r="E78" s="682"/>
      <c r="F78" s="682"/>
      <c r="G78" s="682"/>
      <c r="H78" s="682"/>
      <c r="I78" s="682"/>
      <c r="J78" s="683">
        <f>J33-F73+F75-F76-F74+F77</f>
        <v>1872.3792700909089</v>
      </c>
      <c r="K78" s="684"/>
      <c r="L78" s="684"/>
    </row>
    <row r="79" spans="1:12" ht="5.25" customHeight="1" x14ac:dyDescent="0.25">
      <c r="A79" s="685" t="s">
        <v>57</v>
      </c>
      <c r="B79" s="685"/>
      <c r="C79" s="685"/>
      <c r="D79" s="685"/>
      <c r="E79" s="685"/>
      <c r="F79" s="685"/>
      <c r="G79" s="685"/>
      <c r="H79" s="685"/>
      <c r="I79" s="685"/>
      <c r="J79" s="686">
        <f>F126</f>
        <v>28.716020024170227</v>
      </c>
      <c r="K79" s="687"/>
      <c r="L79" s="687"/>
    </row>
    <row r="80" spans="1:12" ht="5.25" customHeight="1" x14ac:dyDescent="0.25">
      <c r="A80" s="685"/>
      <c r="B80" s="685"/>
      <c r="C80" s="685"/>
      <c r="D80" s="685"/>
      <c r="E80" s="685"/>
      <c r="F80" s="685"/>
      <c r="G80" s="685"/>
      <c r="H80" s="685"/>
      <c r="I80" s="685"/>
      <c r="J80" s="687"/>
      <c r="K80" s="687"/>
      <c r="L80" s="687"/>
    </row>
    <row r="81" spans="1:14" ht="5.25" customHeight="1" x14ac:dyDescent="0.25">
      <c r="A81" s="685"/>
      <c r="B81" s="685"/>
      <c r="C81" s="685"/>
      <c r="D81" s="685"/>
      <c r="E81" s="685"/>
      <c r="F81" s="685"/>
      <c r="G81" s="685"/>
      <c r="H81" s="685"/>
      <c r="I81" s="685"/>
      <c r="J81" s="687"/>
      <c r="K81" s="687"/>
      <c r="L81" s="687"/>
    </row>
    <row r="82" spans="1:14" ht="20.25" customHeight="1" x14ac:dyDescent="0.25">
      <c r="A82" s="688" t="s">
        <v>66</v>
      </c>
      <c r="B82" s="689"/>
      <c r="C82" s="690"/>
      <c r="D82" s="694" t="s">
        <v>60</v>
      </c>
      <c r="E82" s="694"/>
      <c r="F82" s="694" t="s">
        <v>67</v>
      </c>
      <c r="G82" s="694"/>
      <c r="H82" s="55" t="s">
        <v>61</v>
      </c>
      <c r="I82" s="25"/>
      <c r="J82" s="25"/>
      <c r="K82" s="25"/>
      <c r="L82" s="25"/>
    </row>
    <row r="83" spans="1:14" x14ac:dyDescent="0.25">
      <c r="A83" s="691"/>
      <c r="B83" s="692"/>
      <c r="C83" s="693"/>
      <c r="D83" s="695">
        <f>'Correction '!F113</f>
        <v>2022.8585100909092</v>
      </c>
      <c r="E83" s="696"/>
      <c r="F83" s="697">
        <f>+'TAUX NEUTRE '!H12</f>
        <v>2.9000000000000001E-2</v>
      </c>
      <c r="G83" s="687"/>
      <c r="H83" s="56">
        <f>ROUND(D83*F83,2)</f>
        <v>58.66</v>
      </c>
      <c r="I83" s="25"/>
      <c r="J83" s="25"/>
      <c r="K83" s="25"/>
      <c r="L83" s="25"/>
    </row>
    <row r="84" spans="1:14" x14ac:dyDescent="0.25">
      <c r="A84" s="674" t="s">
        <v>58</v>
      </c>
      <c r="B84" s="674"/>
      <c r="C84" s="674"/>
      <c r="D84" s="674"/>
      <c r="E84" s="674"/>
      <c r="F84" s="674"/>
      <c r="G84" s="674"/>
      <c r="H84" s="674"/>
      <c r="I84" s="674"/>
      <c r="J84" s="677">
        <f>G73+J33</f>
        <v>2726.299270090909</v>
      </c>
      <c r="K84" s="678"/>
      <c r="L84" s="678"/>
    </row>
    <row r="85" spans="1:14" x14ac:dyDescent="0.25">
      <c r="A85" s="674" t="s">
        <v>231</v>
      </c>
      <c r="B85" s="674"/>
      <c r="C85" s="674"/>
      <c r="D85" s="674"/>
      <c r="E85" s="674"/>
      <c r="F85" s="674"/>
      <c r="G85" s="674"/>
      <c r="H85" s="674"/>
      <c r="I85" s="674"/>
      <c r="J85" s="677">
        <f>J78-H83</f>
        <v>1813.7192700909088</v>
      </c>
      <c r="K85" s="678"/>
      <c r="L85" s="678"/>
    </row>
    <row r="86" spans="1:14" x14ac:dyDescent="0.25">
      <c r="A86" s="674" t="s">
        <v>62</v>
      </c>
      <c r="B86" s="674"/>
      <c r="C86" s="674"/>
      <c r="D86" s="674"/>
      <c r="E86" s="674"/>
      <c r="F86" s="674"/>
      <c r="G86" s="674"/>
      <c r="H86" s="674"/>
      <c r="I86" s="674"/>
      <c r="J86" s="675">
        <f>'HEURES SUPPLEMENTAIRES '!E100</f>
        <v>1662.0892700909092</v>
      </c>
      <c r="K86" s="676"/>
      <c r="L86" s="676"/>
      <c r="N86" s="2"/>
    </row>
    <row r="87" spans="1:14" x14ac:dyDescent="0.25">
      <c r="A87" s="64"/>
      <c r="B87" s="361" t="s">
        <v>64</v>
      </c>
      <c r="C87" s="361" t="s">
        <v>280</v>
      </c>
      <c r="D87" s="679" t="s">
        <v>282</v>
      </c>
      <c r="E87" s="680"/>
      <c r="F87" s="681" t="s">
        <v>283</v>
      </c>
      <c r="G87" s="681"/>
      <c r="H87" s="377"/>
      <c r="I87" s="377"/>
      <c r="J87" s="181"/>
      <c r="K87" s="364"/>
      <c r="L87" s="364"/>
    </row>
    <row r="88" spans="1:14" ht="21" customHeight="1" x14ac:dyDescent="0.25">
      <c r="A88" s="378" t="s">
        <v>281</v>
      </c>
      <c r="B88" s="68">
        <f>H83</f>
        <v>58.66</v>
      </c>
      <c r="C88" s="68"/>
      <c r="D88" s="367" t="s">
        <v>104</v>
      </c>
      <c r="E88" s="68">
        <v>30</v>
      </c>
      <c r="F88" s="367" t="s">
        <v>293</v>
      </c>
      <c r="G88" s="68"/>
      <c r="H88" s="376"/>
      <c r="I88" s="377"/>
      <c r="J88" s="181"/>
      <c r="K88" s="364"/>
      <c r="L88" s="364"/>
    </row>
    <row r="89" spans="1:14" ht="21" customHeight="1" x14ac:dyDescent="0.25">
      <c r="A89" s="379" t="s">
        <v>285</v>
      </c>
      <c r="B89" s="368">
        <f>C72</f>
        <v>0</v>
      </c>
      <c r="C89" s="68"/>
      <c r="D89" s="367" t="s">
        <v>98</v>
      </c>
      <c r="E89" s="68">
        <v>28</v>
      </c>
      <c r="F89" s="367" t="s">
        <v>242</v>
      </c>
      <c r="G89" s="68"/>
      <c r="H89" s="377"/>
      <c r="I89" s="377"/>
      <c r="J89" s="181"/>
      <c r="K89" s="364"/>
      <c r="L89" s="364"/>
    </row>
    <row r="90" spans="1:14" ht="17.25" customHeight="1" x14ac:dyDescent="0.25">
      <c r="A90" s="380" t="s">
        <v>182</v>
      </c>
      <c r="B90" s="368">
        <f>J33</f>
        <v>2034.069270090909</v>
      </c>
      <c r="C90" s="68"/>
      <c r="D90" s="367" t="s">
        <v>241</v>
      </c>
      <c r="E90" s="68">
        <f>E88-E89</f>
        <v>2</v>
      </c>
      <c r="F90" s="367" t="s">
        <v>241</v>
      </c>
      <c r="G90" s="68"/>
      <c r="H90" s="377"/>
      <c r="I90" s="377"/>
      <c r="J90" s="181"/>
      <c r="K90" s="364"/>
      <c r="L90" s="364"/>
    </row>
    <row r="91" spans="1:14" ht="17.25" customHeight="1" x14ac:dyDescent="0.25">
      <c r="A91" s="380" t="s">
        <v>62</v>
      </c>
      <c r="B91" s="368">
        <f>J86</f>
        <v>1662.0892700909092</v>
      </c>
      <c r="C91" s="68"/>
      <c r="D91" s="363"/>
      <c r="E91" s="363"/>
      <c r="F91" s="363"/>
      <c r="G91" s="363"/>
      <c r="H91" s="377"/>
      <c r="I91" s="377"/>
      <c r="J91" s="181"/>
      <c r="K91" s="364"/>
      <c r="L91" s="364"/>
    </row>
    <row r="92" spans="1:14" ht="15" customHeight="1" x14ac:dyDescent="0.25">
      <c r="A92" s="673" t="s">
        <v>59</v>
      </c>
      <c r="B92" s="673"/>
      <c r="C92" s="673"/>
      <c r="D92" s="673"/>
      <c r="E92" s="673"/>
      <c r="F92" s="25"/>
      <c r="G92" s="25"/>
      <c r="H92" s="25"/>
      <c r="I92" s="25"/>
      <c r="J92" s="25"/>
      <c r="K92" s="25"/>
      <c r="L92" s="25"/>
    </row>
    <row r="93" spans="1:14" s="25" customFormat="1" ht="12" customHeight="1" x14ac:dyDescent="0.25">
      <c r="A93" s="45" t="s">
        <v>63</v>
      </c>
    </row>
    <row r="94" spans="1:14" x14ac:dyDescent="0.25">
      <c r="A94" s="25"/>
      <c r="B94" s="25"/>
      <c r="C94" s="25"/>
      <c r="D94" s="25"/>
      <c r="E94" s="25"/>
      <c r="F94" s="25"/>
      <c r="G94" s="25"/>
      <c r="H94" s="25"/>
      <c r="I94" s="25"/>
      <c r="J94" s="25"/>
      <c r="K94" s="25"/>
      <c r="L94" s="25"/>
    </row>
    <row r="95" spans="1:14" x14ac:dyDescent="0.25">
      <c r="A95" s="25"/>
      <c r="B95" s="25"/>
      <c r="C95" s="25"/>
      <c r="D95" s="25"/>
      <c r="E95" s="25"/>
      <c r="F95" s="25"/>
      <c r="G95" s="25"/>
      <c r="H95" s="25"/>
      <c r="I95" s="25"/>
      <c r="J95" s="25"/>
      <c r="K95" s="25"/>
      <c r="L95" s="25"/>
    </row>
    <row r="96" spans="1:14" x14ac:dyDescent="0.25">
      <c r="A96" s="25"/>
      <c r="B96" s="25"/>
      <c r="C96" s="25"/>
      <c r="D96" s="25"/>
      <c r="E96" s="25"/>
      <c r="F96" s="25"/>
      <c r="G96" s="25"/>
      <c r="H96" s="25"/>
      <c r="I96" s="25"/>
      <c r="J96" s="25"/>
      <c r="K96" s="25"/>
      <c r="L96" s="25"/>
    </row>
    <row r="97" spans="1:18" x14ac:dyDescent="0.25">
      <c r="A97" s="25"/>
      <c r="B97" s="25"/>
      <c r="C97" s="25"/>
      <c r="D97" s="25"/>
      <c r="E97" s="25"/>
      <c r="F97" s="25"/>
      <c r="G97" s="25"/>
      <c r="H97" s="25"/>
      <c r="I97" s="25"/>
      <c r="J97" s="25"/>
      <c r="K97" s="25"/>
      <c r="L97" s="25"/>
    </row>
    <row r="98" spans="1:18" x14ac:dyDescent="0.25">
      <c r="A98" s="25"/>
      <c r="B98" s="25"/>
      <c r="C98" s="25"/>
      <c r="D98" s="25"/>
      <c r="E98" s="25"/>
      <c r="F98" s="25"/>
      <c r="G98" s="25"/>
      <c r="H98" s="25"/>
      <c r="I98" s="25"/>
      <c r="J98" s="25"/>
      <c r="K98" s="25"/>
      <c r="L98" s="25"/>
    </row>
    <row r="99" spans="1:18" x14ac:dyDescent="0.25">
      <c r="A99" s="25"/>
      <c r="B99" s="25"/>
      <c r="C99" s="25"/>
      <c r="D99" s="25"/>
      <c r="E99" s="25"/>
      <c r="F99" s="25"/>
      <c r="G99" s="25"/>
      <c r="H99" s="25"/>
      <c r="I99" s="25"/>
      <c r="J99" s="25"/>
      <c r="K99" s="25"/>
      <c r="L99" s="25"/>
    </row>
    <row r="100" spans="1:18" x14ac:dyDescent="0.25">
      <c r="A100" s="25"/>
      <c r="B100" s="25"/>
      <c r="C100" s="25"/>
      <c r="D100" s="25"/>
      <c r="E100" s="25"/>
      <c r="F100" s="25"/>
      <c r="G100" s="25"/>
      <c r="H100" s="25"/>
      <c r="I100" s="25"/>
      <c r="J100" s="25"/>
      <c r="K100" s="25"/>
      <c r="L100" s="25"/>
    </row>
    <row r="101" spans="1:18" x14ac:dyDescent="0.25">
      <c r="A101" s="25"/>
      <c r="B101" s="25"/>
      <c r="C101" s="25"/>
      <c r="D101" s="25"/>
      <c r="E101" s="25"/>
      <c r="F101" s="25"/>
      <c r="G101" s="25"/>
      <c r="H101" s="25"/>
      <c r="I101" s="25"/>
      <c r="J101" s="25"/>
      <c r="K101" s="25"/>
      <c r="L101" s="25"/>
    </row>
    <row r="102" spans="1:18" x14ac:dyDescent="0.25">
      <c r="A102" s="25"/>
      <c r="B102" s="25"/>
      <c r="C102" s="25"/>
      <c r="D102" s="25"/>
      <c r="E102" s="25"/>
      <c r="F102" s="25"/>
      <c r="G102" s="25"/>
      <c r="H102" s="25"/>
      <c r="I102" s="25"/>
      <c r="J102" s="25"/>
      <c r="K102" s="25"/>
      <c r="L102" s="25"/>
    </row>
    <row r="103" spans="1:18" x14ac:dyDescent="0.25">
      <c r="A103" s="25"/>
      <c r="B103" s="25"/>
      <c r="C103" s="25"/>
      <c r="D103" s="25"/>
      <c r="E103" s="25"/>
      <c r="F103" s="25"/>
      <c r="G103" s="25"/>
      <c r="H103" s="25"/>
      <c r="I103" s="25"/>
      <c r="J103" s="25"/>
      <c r="K103" s="25"/>
      <c r="L103" s="25"/>
    </row>
    <row r="104" spans="1:18" x14ac:dyDescent="0.25">
      <c r="A104" s="25"/>
      <c r="B104" s="25"/>
      <c r="C104" s="25"/>
      <c r="D104" s="25"/>
      <c r="E104" s="25"/>
      <c r="F104" s="25"/>
      <c r="G104" s="25"/>
      <c r="H104" s="25"/>
      <c r="I104" s="25"/>
      <c r="J104" s="25"/>
      <c r="K104" s="25"/>
      <c r="L104" s="25"/>
    </row>
    <row r="105" spans="1:18" ht="15.75" x14ac:dyDescent="0.25">
      <c r="A105" s="27"/>
      <c r="B105" s="27"/>
      <c r="C105" s="27"/>
      <c r="D105" s="27"/>
      <c r="E105" s="27"/>
      <c r="F105" s="27"/>
      <c r="G105" s="27"/>
      <c r="H105" s="27"/>
      <c r="I105" s="27"/>
      <c r="J105" s="27"/>
      <c r="K105" s="27"/>
      <c r="L105" s="27"/>
      <c r="M105" s="29"/>
      <c r="N105" s="29"/>
      <c r="O105" s="29"/>
      <c r="P105" s="29"/>
      <c r="Q105" s="29"/>
      <c r="R105" s="29"/>
    </row>
    <row r="106" spans="1:18" ht="15.75" x14ac:dyDescent="0.25">
      <c r="A106" s="27" t="s">
        <v>88</v>
      </c>
      <c r="B106" s="27"/>
      <c r="C106" s="27"/>
      <c r="D106" s="27"/>
      <c r="E106" s="27"/>
      <c r="F106" s="27"/>
      <c r="G106" s="27"/>
      <c r="H106" s="27"/>
      <c r="I106" s="27"/>
      <c r="J106" s="27"/>
      <c r="K106" s="27"/>
      <c r="L106" s="27"/>
      <c r="M106" s="29"/>
      <c r="N106" s="29"/>
      <c r="O106" s="29"/>
      <c r="P106" s="29"/>
      <c r="Q106" s="29"/>
      <c r="R106" s="29"/>
    </row>
    <row r="107" spans="1:18" ht="15.75" x14ac:dyDescent="0.25">
      <c r="A107" s="27"/>
      <c r="C107" s="51" t="s">
        <v>32</v>
      </c>
      <c r="D107" s="51" t="s">
        <v>90</v>
      </c>
      <c r="E107" s="51" t="s">
        <v>99</v>
      </c>
      <c r="H107" s="27"/>
      <c r="I107" s="27"/>
      <c r="J107" s="27"/>
      <c r="K107" s="27"/>
      <c r="L107" s="27"/>
      <c r="M107" s="29"/>
      <c r="N107" s="29"/>
      <c r="O107" s="29"/>
      <c r="P107" s="29"/>
      <c r="Q107" s="29"/>
      <c r="R107" s="29"/>
    </row>
    <row r="108" spans="1:18" ht="15.75" x14ac:dyDescent="0.25">
      <c r="A108" s="670" t="s">
        <v>91</v>
      </c>
      <c r="B108" s="671"/>
      <c r="C108" s="46">
        <f>IF(B9&lt;50,IF(J33&gt;C33,C33,J33),0)</f>
        <v>0</v>
      </c>
      <c r="D108" s="53">
        <f>'TABLE DES TAUX 2026 '!E26</f>
        <v>1E-3</v>
      </c>
      <c r="E108" s="46">
        <f>ROUND(C108*D108,2)</f>
        <v>0</v>
      </c>
      <c r="H108" s="27"/>
      <c r="I108" s="27"/>
      <c r="J108" s="27"/>
      <c r="K108" s="27"/>
      <c r="L108" s="27"/>
      <c r="M108" s="29"/>
      <c r="N108" s="29"/>
      <c r="O108" s="29"/>
      <c r="P108" s="29"/>
      <c r="Q108" s="29"/>
      <c r="R108" s="29"/>
    </row>
    <row r="109" spans="1:18" ht="15.75" x14ac:dyDescent="0.25">
      <c r="A109" s="670" t="s">
        <v>92</v>
      </c>
      <c r="B109" s="671"/>
      <c r="C109" s="46">
        <f>IF(B9&gt;=50,J33,0)</f>
        <v>2034.069270090909</v>
      </c>
      <c r="D109" s="53">
        <f>+'TABLE DES TAUX 2026 '!E27</f>
        <v>5.0000000000000001E-3</v>
      </c>
      <c r="E109" s="46">
        <f>ROUND(C109*D109,2)</f>
        <v>10.17</v>
      </c>
      <c r="H109" s="27"/>
      <c r="I109" s="27"/>
      <c r="J109" s="27"/>
      <c r="K109" s="27"/>
      <c r="L109" s="27"/>
      <c r="M109" s="29"/>
      <c r="N109" s="29"/>
      <c r="O109" s="29"/>
      <c r="P109" s="29"/>
      <c r="Q109" s="29"/>
      <c r="R109" s="29"/>
    </row>
    <row r="110" spans="1:18" ht="15.75" x14ac:dyDescent="0.25">
      <c r="A110" s="670" t="s">
        <v>275</v>
      </c>
      <c r="B110" s="671"/>
      <c r="C110" s="46">
        <f>IF(B9&gt;=11,J33,0)</f>
        <v>2034.069270090909</v>
      </c>
      <c r="D110" s="53">
        <f>'Masque de Saisie'!H22</f>
        <v>3.2000000000000001E-2</v>
      </c>
      <c r="E110" s="46">
        <f t="shared" ref="E110:E118" si="4">ROUND(C110*D110,2)</f>
        <v>65.09</v>
      </c>
      <c r="H110" s="27"/>
      <c r="I110" s="27"/>
      <c r="J110" s="27"/>
      <c r="K110" s="27"/>
      <c r="L110" s="27"/>
      <c r="M110" s="29"/>
      <c r="N110" s="29"/>
      <c r="O110" s="29"/>
      <c r="P110" s="29"/>
      <c r="Q110" s="29"/>
      <c r="R110" s="29"/>
    </row>
    <row r="111" spans="1:18" ht="15.75" x14ac:dyDescent="0.25">
      <c r="A111" s="665" t="s">
        <v>71</v>
      </c>
      <c r="B111" s="666"/>
      <c r="C111" s="46">
        <f>J33</f>
        <v>2034.069270090909</v>
      </c>
      <c r="D111" s="53">
        <f>'TABLE DES TAUX 2026 '!E29</f>
        <v>3.0000000000000001E-3</v>
      </c>
      <c r="E111" s="46">
        <f t="shared" si="4"/>
        <v>6.1</v>
      </c>
      <c r="H111" s="27"/>
      <c r="I111" s="27"/>
      <c r="J111" s="27"/>
      <c r="K111" s="27"/>
      <c r="L111" s="27"/>
      <c r="M111" s="29"/>
      <c r="N111" s="29"/>
      <c r="O111" s="29"/>
      <c r="P111" s="29"/>
      <c r="Q111" s="29"/>
      <c r="R111" s="29"/>
    </row>
    <row r="112" spans="1:18" ht="15.75" x14ac:dyDescent="0.25">
      <c r="A112" s="670" t="s">
        <v>89</v>
      </c>
      <c r="B112" s="671"/>
      <c r="C112" s="46">
        <f>IF(B9&gt;=11, IF(I9=2,G38+G41+G42,G39+G40),0)</f>
        <v>81.36</v>
      </c>
      <c r="D112" s="53">
        <f>'TABLE DES TAUX 2026 '!E30</f>
        <v>0.08</v>
      </c>
      <c r="E112" s="46">
        <f t="shared" si="4"/>
        <v>6.51</v>
      </c>
      <c r="H112" s="29"/>
      <c r="I112" s="29"/>
      <c r="J112" s="29"/>
      <c r="K112" s="29"/>
      <c r="L112" s="29"/>
      <c r="M112" s="29"/>
      <c r="N112" s="29"/>
      <c r="O112" s="29"/>
      <c r="P112" s="29"/>
      <c r="Q112" s="29"/>
      <c r="R112" s="29"/>
    </row>
    <row r="113" spans="1:18" ht="15.75" x14ac:dyDescent="0.25">
      <c r="A113" s="666" t="s">
        <v>222</v>
      </c>
      <c r="B113" s="672"/>
      <c r="C113" s="46">
        <f>G43</f>
        <v>0</v>
      </c>
      <c r="D113" s="53">
        <f>'TABLE DES TAUX 2026 '!E31</f>
        <v>0.2</v>
      </c>
      <c r="E113" s="46">
        <f t="shared" si="4"/>
        <v>0</v>
      </c>
      <c r="H113" s="29"/>
      <c r="I113" s="29"/>
      <c r="J113" s="29"/>
      <c r="K113" s="29"/>
      <c r="L113" s="29"/>
      <c r="M113" s="29"/>
      <c r="N113" s="29"/>
      <c r="O113" s="29"/>
      <c r="P113" s="29"/>
      <c r="Q113" s="29"/>
      <c r="R113" s="29"/>
    </row>
    <row r="114" spans="1:18" ht="16.5" customHeight="1" x14ac:dyDescent="0.25">
      <c r="A114" s="665" t="s">
        <v>72</v>
      </c>
      <c r="B114" s="666"/>
      <c r="C114" s="46">
        <f>+J33</f>
        <v>2034.069270090909</v>
      </c>
      <c r="D114" s="53">
        <f>'TABLE DES TAUX 2026 '!E32</f>
        <v>1.6000000000000001E-4</v>
      </c>
      <c r="E114" s="46">
        <f t="shared" si="4"/>
        <v>0.33</v>
      </c>
      <c r="H114" s="29"/>
      <c r="I114" s="29"/>
      <c r="J114" s="29"/>
      <c r="K114" s="29"/>
      <c r="L114" s="29"/>
      <c r="M114" s="29"/>
      <c r="N114" s="29"/>
      <c r="O114" s="29"/>
      <c r="P114" s="29"/>
      <c r="Q114" s="29"/>
      <c r="R114" s="29"/>
    </row>
    <row r="115" spans="1:18" ht="15.75" x14ac:dyDescent="0.25">
      <c r="A115" s="665" t="s">
        <v>77</v>
      </c>
      <c r="B115" s="666"/>
      <c r="C115" s="46">
        <f>C114</f>
        <v>2034.069270090909</v>
      </c>
      <c r="D115" s="53">
        <f>'TABLE DES TAUX 2026 '!E33</f>
        <v>6.7999999999999996E-3</v>
      </c>
      <c r="E115" s="46">
        <f t="shared" si="4"/>
        <v>13.83</v>
      </c>
      <c r="H115" s="29"/>
      <c r="I115" s="29"/>
      <c r="J115" s="29"/>
      <c r="K115" s="29"/>
      <c r="L115" s="29"/>
      <c r="M115" s="29"/>
      <c r="N115" s="29"/>
      <c r="O115" s="29"/>
      <c r="P115" s="29"/>
      <c r="Q115" s="29"/>
      <c r="R115" s="29"/>
    </row>
    <row r="116" spans="1:18" ht="15.75" x14ac:dyDescent="0.25">
      <c r="A116" s="665" t="s">
        <v>78</v>
      </c>
      <c r="B116" s="666"/>
      <c r="C116" s="46">
        <f>IF(B9&lt;11,0,J33)</f>
        <v>2034.069270090909</v>
      </c>
      <c r="D116" s="53">
        <f>'TABLE DES TAUX 2026 '!E34</f>
        <v>0.01</v>
      </c>
      <c r="E116" s="46">
        <f t="shared" si="4"/>
        <v>20.34</v>
      </c>
      <c r="H116" s="29"/>
      <c r="I116" s="29"/>
      <c r="J116" s="29"/>
      <c r="K116" s="29"/>
      <c r="L116" s="29"/>
      <c r="M116" s="29"/>
      <c r="N116" s="29"/>
      <c r="O116" s="29"/>
      <c r="P116" s="29"/>
      <c r="Q116" s="29"/>
      <c r="R116" s="29"/>
    </row>
    <row r="117" spans="1:18" ht="15.75" x14ac:dyDescent="0.25">
      <c r="A117" s="665" t="s">
        <v>78</v>
      </c>
      <c r="B117" s="666"/>
      <c r="C117" s="46">
        <f>IF(B9&gt;=11,0,J33)</f>
        <v>0</v>
      </c>
      <c r="D117" s="53">
        <f>'TABLE DES TAUX 2026 '!E35</f>
        <v>5.4999999999999997E-3</v>
      </c>
      <c r="E117" s="46">
        <f t="shared" si="4"/>
        <v>0</v>
      </c>
      <c r="H117" s="29"/>
      <c r="I117" s="29"/>
      <c r="J117" s="29"/>
      <c r="K117" s="29"/>
      <c r="L117" s="29"/>
      <c r="M117" s="29"/>
      <c r="N117" s="29"/>
      <c r="O117" s="29"/>
      <c r="P117" s="29"/>
      <c r="Q117" s="29"/>
      <c r="R117" s="29"/>
    </row>
    <row r="118" spans="1:18" ht="15.75" x14ac:dyDescent="0.25">
      <c r="A118" s="665" t="s">
        <v>83</v>
      </c>
      <c r="B118" s="666"/>
      <c r="C118" s="46">
        <f>IF(B9&lt;50,0,J33)</f>
        <v>2034.069270090909</v>
      </c>
      <c r="D118" s="53">
        <f>'TABLE DES TAUX 2026 '!E36</f>
        <v>4.4999999999999997E-3</v>
      </c>
      <c r="E118" s="46">
        <f t="shared" si="4"/>
        <v>9.15</v>
      </c>
      <c r="H118" s="29"/>
      <c r="I118" s="29"/>
      <c r="J118" s="29"/>
      <c r="K118" s="29"/>
      <c r="L118" s="29"/>
      <c r="M118" s="29"/>
      <c r="N118" s="29"/>
      <c r="O118" s="29"/>
      <c r="P118" s="29"/>
      <c r="Q118" s="29"/>
      <c r="R118" s="29"/>
    </row>
    <row r="119" spans="1:18" ht="15.75" x14ac:dyDescent="0.25">
      <c r="A119" s="29"/>
      <c r="B119" s="29"/>
      <c r="D119" s="29"/>
      <c r="E119" s="69">
        <f>SUM(E108:E118)</f>
        <v>131.52000000000001</v>
      </c>
      <c r="F119" s="29"/>
      <c r="G119" s="29"/>
      <c r="H119" s="29"/>
      <c r="I119" s="29"/>
      <c r="J119" s="29"/>
      <c r="K119" s="29"/>
      <c r="L119" s="29"/>
      <c r="M119" s="29"/>
      <c r="N119" s="29"/>
      <c r="O119" s="29"/>
      <c r="P119" s="29"/>
      <c r="Q119" s="29"/>
      <c r="R119" s="29"/>
    </row>
    <row r="120" spans="1:18" ht="15.75" x14ac:dyDescent="0.25">
      <c r="A120" s="29"/>
      <c r="B120" s="29"/>
      <c r="C120" s="29"/>
      <c r="D120" s="29"/>
      <c r="E120" s="29"/>
      <c r="F120" s="29"/>
      <c r="G120" s="29"/>
      <c r="H120" s="29"/>
      <c r="I120" s="29"/>
      <c r="J120" s="29"/>
      <c r="K120" s="29"/>
      <c r="L120" s="29"/>
      <c r="M120" s="29"/>
      <c r="N120" s="29"/>
      <c r="O120" s="29"/>
      <c r="P120" s="29"/>
      <c r="Q120" s="29"/>
      <c r="R120" s="29"/>
    </row>
    <row r="121" spans="1:18" ht="16.5" x14ac:dyDescent="0.3">
      <c r="A121" s="26"/>
      <c r="B121" s="26"/>
      <c r="C121" s="26"/>
      <c r="D121" s="26"/>
      <c r="E121" s="26"/>
      <c r="F121" s="26"/>
      <c r="G121" s="26"/>
      <c r="H121" s="29"/>
      <c r="I121" s="29"/>
      <c r="J121" s="29"/>
      <c r="K121" s="29"/>
      <c r="L121" s="29"/>
      <c r="M121" s="29"/>
      <c r="N121" s="29"/>
      <c r="O121" s="29"/>
      <c r="P121" s="29"/>
      <c r="Q121" s="29"/>
      <c r="R121" s="29"/>
    </row>
    <row r="122" spans="1:18" ht="24.75" customHeight="1" x14ac:dyDescent="0.3">
      <c r="A122" s="26"/>
      <c r="B122" s="26"/>
      <c r="C122" s="26"/>
      <c r="D122" s="26"/>
      <c r="E122" s="26"/>
      <c r="F122" s="26"/>
      <c r="G122" s="26"/>
      <c r="H122" s="29"/>
      <c r="I122" s="29"/>
      <c r="J122" s="29"/>
      <c r="K122" s="29"/>
      <c r="L122" s="29"/>
      <c r="M122" s="29"/>
      <c r="N122" s="29"/>
      <c r="O122" s="29"/>
      <c r="P122" s="29"/>
      <c r="Q122" s="29"/>
      <c r="R122" s="29"/>
    </row>
    <row r="123" spans="1:18" ht="36" customHeight="1" x14ac:dyDescent="0.3">
      <c r="A123" s="667" t="s">
        <v>94</v>
      </c>
      <c r="B123" s="667"/>
      <c r="C123" s="48">
        <v>7.4999999999999997E-3</v>
      </c>
      <c r="D123" s="49">
        <f>C36*C123</f>
        <v>15.255519525681816</v>
      </c>
      <c r="E123" s="26"/>
      <c r="F123" s="26"/>
      <c r="G123" s="26"/>
      <c r="H123" s="29"/>
      <c r="I123" s="29"/>
      <c r="J123" s="29"/>
      <c r="K123" s="29"/>
      <c r="L123" s="29"/>
      <c r="M123" s="29"/>
      <c r="N123" s="29"/>
      <c r="O123" s="29"/>
      <c r="P123" s="29"/>
      <c r="Q123" s="29"/>
      <c r="R123" s="29"/>
    </row>
    <row r="124" spans="1:18" ht="35.25" customHeight="1" x14ac:dyDescent="0.3">
      <c r="A124" s="663" t="s">
        <v>95</v>
      </c>
      <c r="B124" s="663"/>
      <c r="C124" s="48">
        <v>2.4E-2</v>
      </c>
      <c r="D124" s="49">
        <f>C61*C124</f>
        <v>48.817662482181817</v>
      </c>
      <c r="E124" s="26"/>
      <c r="F124" s="26"/>
      <c r="G124" s="26"/>
      <c r="H124" s="29"/>
      <c r="I124" s="29"/>
      <c r="J124" s="29"/>
      <c r="K124" s="29"/>
      <c r="L124" s="29"/>
      <c r="M124" s="29"/>
      <c r="N124" s="29"/>
      <c r="O124" s="29"/>
      <c r="P124" s="29"/>
      <c r="Q124" s="29"/>
      <c r="R124" s="29"/>
    </row>
    <row r="125" spans="1:18" ht="22.5" hidden="1" customHeight="1" x14ac:dyDescent="0.3">
      <c r="A125" s="26"/>
      <c r="B125" s="26"/>
      <c r="C125" s="26"/>
      <c r="D125" s="26"/>
      <c r="E125" s="26"/>
      <c r="F125" s="26"/>
      <c r="G125" s="26"/>
      <c r="H125" s="29"/>
      <c r="I125" s="29"/>
      <c r="J125" s="29"/>
      <c r="K125" s="29"/>
      <c r="L125" s="29"/>
      <c r="M125" s="29"/>
      <c r="N125" s="29"/>
      <c r="O125" s="29"/>
      <c r="P125" s="29"/>
      <c r="Q125" s="29"/>
      <c r="R125" s="29"/>
    </row>
    <row r="126" spans="1:18" ht="22.5" customHeight="1" x14ac:dyDescent="0.3">
      <c r="A126" s="668" t="s">
        <v>115</v>
      </c>
      <c r="B126" s="668"/>
      <c r="C126" s="668"/>
      <c r="D126" s="669"/>
      <c r="E126" s="70" t="s">
        <v>97</v>
      </c>
      <c r="F126" s="71">
        <f>D123+D124-D128</f>
        <v>28.716020024170227</v>
      </c>
      <c r="G126" s="26"/>
      <c r="H126" s="29"/>
      <c r="I126" s="29"/>
      <c r="J126" s="29"/>
      <c r="K126" s="29"/>
      <c r="L126" s="29"/>
      <c r="M126" s="29"/>
      <c r="N126" s="29"/>
      <c r="O126" s="29"/>
      <c r="P126" s="29"/>
      <c r="Q126" s="29"/>
      <c r="R126" s="29"/>
    </row>
    <row r="127" spans="1:18" ht="0.75" customHeight="1" x14ac:dyDescent="0.3">
      <c r="A127" s="26"/>
      <c r="B127" s="26"/>
      <c r="C127" s="26"/>
      <c r="D127" s="26"/>
      <c r="E127" s="26"/>
      <c r="F127" s="26"/>
      <c r="G127" s="26"/>
      <c r="H127" s="29"/>
      <c r="I127" s="29"/>
      <c r="J127" s="29"/>
      <c r="K127" s="29"/>
      <c r="L127" s="29"/>
      <c r="M127" s="29"/>
      <c r="N127" s="29"/>
      <c r="O127" s="29"/>
      <c r="P127" s="29"/>
      <c r="Q127" s="29"/>
      <c r="R127" s="29"/>
    </row>
    <row r="128" spans="1:18" ht="36" customHeight="1" x14ac:dyDescent="0.3">
      <c r="A128" s="663" t="s">
        <v>96</v>
      </c>
      <c r="B128" s="663"/>
      <c r="C128" s="48">
        <v>1.7000000000000001E-2</v>
      </c>
      <c r="D128" s="49">
        <f>(C66+C70)*C128</f>
        <v>35.357161983693409</v>
      </c>
      <c r="E128" s="26"/>
      <c r="F128" s="26"/>
      <c r="G128" s="26"/>
      <c r="H128" s="29"/>
      <c r="I128" s="29"/>
      <c r="J128" s="29"/>
      <c r="K128" s="29"/>
      <c r="L128" s="29"/>
      <c r="M128" s="29"/>
      <c r="N128" s="29"/>
      <c r="O128" s="29"/>
      <c r="P128" s="29"/>
      <c r="Q128" s="29"/>
      <c r="R128" s="29"/>
    </row>
    <row r="129" spans="1:18" ht="16.5" x14ac:dyDescent="0.3">
      <c r="A129" s="26"/>
      <c r="B129" s="26"/>
      <c r="C129" s="26"/>
      <c r="D129" s="26"/>
      <c r="E129" s="26"/>
      <c r="F129" s="26"/>
      <c r="G129" s="26"/>
      <c r="H129" s="29"/>
      <c r="I129" s="29"/>
      <c r="J129" s="29"/>
      <c r="K129" s="29"/>
      <c r="L129" s="29"/>
      <c r="M129" s="29"/>
      <c r="N129" s="29"/>
      <c r="O129" s="29"/>
      <c r="P129" s="29"/>
      <c r="Q129" s="29"/>
      <c r="R129" s="29"/>
    </row>
    <row r="130" spans="1:18" ht="15.75" x14ac:dyDescent="0.25">
      <c r="A130" s="29"/>
      <c r="B130" s="29"/>
      <c r="C130" s="29"/>
      <c r="D130" s="29"/>
      <c r="E130" s="29"/>
      <c r="F130" s="29"/>
      <c r="G130" s="29"/>
      <c r="H130" s="29"/>
      <c r="I130" s="29"/>
      <c r="J130" s="29"/>
      <c r="K130" s="29"/>
      <c r="L130" s="29"/>
      <c r="M130" s="29"/>
      <c r="N130" s="29"/>
      <c r="O130" s="29"/>
      <c r="P130" s="29"/>
      <c r="Q130" s="29"/>
      <c r="R130" s="29"/>
    </row>
    <row r="131" spans="1:18" ht="15.75" x14ac:dyDescent="0.25">
      <c r="A131" s="29"/>
      <c r="B131" s="29"/>
      <c r="C131" s="29"/>
      <c r="D131" s="29"/>
      <c r="E131" s="29"/>
      <c r="F131" s="29"/>
      <c r="G131" s="29"/>
      <c r="H131" s="29"/>
      <c r="I131" s="29"/>
      <c r="J131" s="29"/>
      <c r="K131" s="29"/>
      <c r="L131" s="29"/>
      <c r="M131" s="29"/>
      <c r="N131" s="29"/>
      <c r="O131" s="29"/>
      <c r="P131" s="29"/>
      <c r="Q131" s="29"/>
      <c r="R131" s="29"/>
    </row>
    <row r="132" spans="1:18" ht="15.75" x14ac:dyDescent="0.25">
      <c r="A132" s="29"/>
      <c r="B132" s="29"/>
      <c r="C132" s="29"/>
      <c r="D132" s="29"/>
      <c r="E132" s="29"/>
      <c r="F132" s="29"/>
      <c r="G132" s="29"/>
      <c r="H132" s="29"/>
      <c r="I132" s="29"/>
      <c r="J132" s="29"/>
      <c r="K132" s="29"/>
      <c r="L132" s="29"/>
      <c r="M132" s="29"/>
      <c r="N132" s="29"/>
      <c r="O132" s="29"/>
      <c r="P132" s="29"/>
      <c r="Q132" s="29"/>
      <c r="R132" s="29"/>
    </row>
    <row r="133" spans="1:18" ht="15.75" x14ac:dyDescent="0.25">
      <c r="A133" s="29"/>
      <c r="B133" s="29"/>
      <c r="C133" s="29"/>
      <c r="D133" s="29"/>
      <c r="E133" s="29"/>
      <c r="F133" s="29"/>
      <c r="G133" s="29"/>
      <c r="H133" s="29"/>
      <c r="I133" s="29"/>
      <c r="J133" s="29"/>
      <c r="K133" s="29"/>
      <c r="L133" s="29"/>
      <c r="M133" s="29"/>
      <c r="N133" s="29"/>
      <c r="O133" s="29"/>
      <c r="P133" s="29"/>
      <c r="Q133" s="29"/>
      <c r="R133" s="29"/>
    </row>
    <row r="134" spans="1:18" ht="15.75" x14ac:dyDescent="0.25">
      <c r="A134" s="29"/>
      <c r="B134" s="29"/>
      <c r="C134" s="29"/>
      <c r="D134" s="29"/>
      <c r="E134" s="29"/>
      <c r="F134" s="29"/>
      <c r="G134" s="29"/>
      <c r="H134" s="29"/>
      <c r="I134" s="29"/>
      <c r="J134" s="29"/>
      <c r="K134" s="29"/>
      <c r="L134" s="29"/>
      <c r="M134" s="29"/>
      <c r="N134" s="29"/>
      <c r="O134" s="29"/>
      <c r="P134" s="29"/>
      <c r="Q134" s="29"/>
      <c r="R134" s="29"/>
    </row>
    <row r="135" spans="1:18" ht="15.75" x14ac:dyDescent="0.25">
      <c r="A135" s="29"/>
      <c r="B135" s="29"/>
      <c r="C135" s="29"/>
      <c r="D135" s="29"/>
      <c r="E135" s="29"/>
      <c r="F135" s="29"/>
      <c r="G135" s="29"/>
      <c r="H135" s="29"/>
      <c r="I135" s="29"/>
      <c r="J135" s="29"/>
      <c r="K135" s="29"/>
      <c r="L135" s="29"/>
      <c r="M135" s="29"/>
      <c r="N135" s="29"/>
      <c r="O135" s="29"/>
      <c r="P135" s="29"/>
      <c r="Q135" s="29"/>
      <c r="R135" s="29"/>
    </row>
    <row r="136" spans="1:18" ht="15.75" x14ac:dyDescent="0.25">
      <c r="A136" s="29"/>
      <c r="B136" s="29"/>
      <c r="C136" s="29"/>
      <c r="D136" s="29"/>
      <c r="E136" s="29"/>
      <c r="F136" s="29"/>
      <c r="G136" s="29"/>
      <c r="H136" s="29"/>
      <c r="I136" s="29"/>
      <c r="J136" s="29"/>
      <c r="K136" s="29"/>
      <c r="L136" s="29"/>
      <c r="M136" s="29"/>
      <c r="N136" s="29"/>
      <c r="O136" s="29"/>
      <c r="P136" s="29"/>
      <c r="Q136" s="29"/>
      <c r="R136" s="29"/>
    </row>
    <row r="137" spans="1:18" ht="15.75" x14ac:dyDescent="0.25">
      <c r="A137" s="29"/>
      <c r="B137" s="29"/>
      <c r="C137" s="29"/>
      <c r="D137" s="29"/>
      <c r="E137" s="29"/>
      <c r="F137" s="29"/>
      <c r="G137" s="29"/>
      <c r="H137" s="29"/>
      <c r="I137" s="29"/>
      <c r="J137" s="29"/>
      <c r="K137" s="29"/>
      <c r="L137" s="29"/>
      <c r="M137" s="29"/>
      <c r="N137" s="29"/>
      <c r="O137" s="29"/>
      <c r="P137" s="29"/>
      <c r="Q137" s="29"/>
      <c r="R137" s="29"/>
    </row>
    <row r="138" spans="1:18" ht="15.75" x14ac:dyDescent="0.25">
      <c r="A138" s="29"/>
      <c r="B138" s="29"/>
      <c r="C138" s="29"/>
      <c r="D138" s="29"/>
      <c r="E138" s="29"/>
      <c r="F138" s="29"/>
      <c r="G138" s="29"/>
      <c r="H138" s="29"/>
      <c r="I138" s="29"/>
      <c r="J138" s="29"/>
      <c r="K138" s="29"/>
      <c r="L138" s="29"/>
      <c r="M138" s="29"/>
      <c r="N138" s="29"/>
      <c r="O138" s="29"/>
      <c r="P138" s="29"/>
      <c r="Q138" s="29"/>
      <c r="R138" s="29"/>
    </row>
    <row r="139" spans="1:18" ht="15.75" x14ac:dyDescent="0.25">
      <c r="A139" s="29"/>
      <c r="B139" s="29"/>
      <c r="C139" s="29"/>
      <c r="D139" s="29"/>
      <c r="E139" s="29"/>
      <c r="F139" s="29"/>
      <c r="G139" s="29"/>
      <c r="H139" s="29"/>
      <c r="I139" s="29"/>
      <c r="J139" s="29"/>
      <c r="K139" s="29"/>
      <c r="L139" s="29"/>
      <c r="M139" s="29"/>
      <c r="N139" s="29"/>
      <c r="O139" s="29"/>
      <c r="P139" s="29"/>
      <c r="Q139" s="29"/>
      <c r="R139" s="29"/>
    </row>
    <row r="140" spans="1:18" ht="15.75" x14ac:dyDescent="0.25">
      <c r="A140" s="29"/>
      <c r="B140" s="29"/>
      <c r="C140" s="29"/>
      <c r="D140" s="29"/>
      <c r="E140" s="29"/>
      <c r="F140" s="29"/>
      <c r="G140" s="29"/>
      <c r="H140" s="29"/>
      <c r="I140" s="29"/>
      <c r="J140" s="29"/>
      <c r="K140" s="29"/>
      <c r="L140" s="29"/>
      <c r="M140" s="29"/>
      <c r="N140" s="29"/>
      <c r="O140" s="29"/>
      <c r="P140" s="29"/>
      <c r="Q140" s="29"/>
      <c r="R140" s="29"/>
    </row>
    <row r="141" spans="1:18" ht="15.75" x14ac:dyDescent="0.25">
      <c r="A141" s="29"/>
      <c r="B141" s="29"/>
      <c r="C141" s="29"/>
      <c r="D141" s="29"/>
      <c r="E141" s="29"/>
      <c r="F141" s="29"/>
      <c r="G141" s="29"/>
      <c r="H141" s="29"/>
      <c r="I141" s="29"/>
      <c r="J141" s="29"/>
      <c r="K141" s="29"/>
      <c r="L141" s="29"/>
      <c r="M141" s="29"/>
      <c r="N141" s="29"/>
      <c r="O141" s="29"/>
      <c r="P141" s="29"/>
      <c r="Q141" s="29"/>
      <c r="R141" s="29"/>
    </row>
    <row r="143" spans="1:18" ht="28.5" customHeight="1" x14ac:dyDescent="0.25">
      <c r="A143" s="664"/>
      <c r="B143" s="664"/>
      <c r="C143" s="664"/>
      <c r="D143" s="664"/>
      <c r="E143" s="664"/>
      <c r="F143" s="664"/>
      <c r="G143" s="664"/>
      <c r="H143" s="664"/>
      <c r="I143" s="664"/>
      <c r="J143" s="664"/>
    </row>
    <row r="200" ht="15" customHeight="1" x14ac:dyDescent="0.25"/>
    <row r="209" ht="18.75" customHeight="1" x14ac:dyDescent="0.25"/>
    <row r="210" ht="18.75" customHeight="1" x14ac:dyDescent="0.25"/>
    <row r="211" ht="18.75" customHeight="1" x14ac:dyDescent="0.25"/>
    <row r="212" ht="18.75" customHeight="1" x14ac:dyDescent="0.25"/>
    <row r="213" ht="18.75" customHeight="1" x14ac:dyDescent="0.25"/>
    <row r="214" ht="18.75" customHeight="1" x14ac:dyDescent="0.25"/>
    <row r="215" ht="18.75" customHeight="1" x14ac:dyDescent="0.25"/>
    <row r="216" ht="18.75" customHeight="1" x14ac:dyDescent="0.25"/>
  </sheetData>
  <mergeCells count="137">
    <mergeCell ref="A77:B77"/>
    <mergeCell ref="B5:D5"/>
    <mergeCell ref="G8:J8"/>
    <mergeCell ref="B6:D6"/>
    <mergeCell ref="G6:J6"/>
    <mergeCell ref="B7:D7"/>
    <mergeCell ref="G7:J7"/>
    <mergeCell ref="A1:J1"/>
    <mergeCell ref="A2:D2"/>
    <mergeCell ref="F2:J2"/>
    <mergeCell ref="B3:D3"/>
    <mergeCell ref="G3:J3"/>
    <mergeCell ref="B4:D4"/>
    <mergeCell ref="G4:J4"/>
    <mergeCell ref="G5:J5"/>
    <mergeCell ref="A13:F13"/>
    <mergeCell ref="A14:F14"/>
    <mergeCell ref="A15:F15"/>
    <mergeCell ref="A16:F16"/>
    <mergeCell ref="A17:F17"/>
    <mergeCell ref="B8:D8"/>
    <mergeCell ref="C9:D9"/>
    <mergeCell ref="F9:G9"/>
    <mergeCell ref="F10:G10"/>
    <mergeCell ref="B11:D11"/>
    <mergeCell ref="A12:J12"/>
    <mergeCell ref="A24:F24"/>
    <mergeCell ref="A25:F25"/>
    <mergeCell ref="A26:F26"/>
    <mergeCell ref="A27:F27"/>
    <mergeCell ref="A28:F28"/>
    <mergeCell ref="A29:F29"/>
    <mergeCell ref="A18:F18"/>
    <mergeCell ref="A19:F19"/>
    <mergeCell ref="A20:F20"/>
    <mergeCell ref="A21:F21"/>
    <mergeCell ref="A23:F23"/>
    <mergeCell ref="A22:F22"/>
    <mergeCell ref="A36:B36"/>
    <mergeCell ref="O36:P36"/>
    <mergeCell ref="A37:B37"/>
    <mergeCell ref="O37:P37"/>
    <mergeCell ref="A38:B38"/>
    <mergeCell ref="O38:P38"/>
    <mergeCell ref="A30:F30"/>
    <mergeCell ref="A31:F31"/>
    <mergeCell ref="A33:B33"/>
    <mergeCell ref="D33:I33"/>
    <mergeCell ref="A34:B34"/>
    <mergeCell ref="A35:B35"/>
    <mergeCell ref="A32:F32"/>
    <mergeCell ref="A42:B42"/>
    <mergeCell ref="O44:P44"/>
    <mergeCell ref="A45:B45"/>
    <mergeCell ref="O45:P45"/>
    <mergeCell ref="A46:B46"/>
    <mergeCell ref="O46:P46"/>
    <mergeCell ref="A39:B39"/>
    <mergeCell ref="O39:P39"/>
    <mergeCell ref="A40:B40"/>
    <mergeCell ref="O40:P40"/>
    <mergeCell ref="A41:B41"/>
    <mergeCell ref="O41:P41"/>
    <mergeCell ref="A43:B43"/>
    <mergeCell ref="A44:B44"/>
    <mergeCell ref="A51:B51"/>
    <mergeCell ref="M51:O51"/>
    <mergeCell ref="A52:B52"/>
    <mergeCell ref="M52:N52"/>
    <mergeCell ref="A53:B53"/>
    <mergeCell ref="A54:B54"/>
    <mergeCell ref="I54:J54"/>
    <mergeCell ref="A47:B47"/>
    <mergeCell ref="L47:L48"/>
    <mergeCell ref="A48:B48"/>
    <mergeCell ref="A49:B49"/>
    <mergeCell ref="I49:J49"/>
    <mergeCell ref="A50:B50"/>
    <mergeCell ref="A60:B60"/>
    <mergeCell ref="M60:N60"/>
    <mergeCell ref="A61:B61"/>
    <mergeCell ref="A63:B63"/>
    <mergeCell ref="A64:B64"/>
    <mergeCell ref="M64:N64"/>
    <mergeCell ref="A55:B55"/>
    <mergeCell ref="A56:B56"/>
    <mergeCell ref="A57:B57"/>
    <mergeCell ref="M57:N57"/>
    <mergeCell ref="A58:B58"/>
    <mergeCell ref="A59:B59"/>
    <mergeCell ref="A62:B62"/>
    <mergeCell ref="A71:B71"/>
    <mergeCell ref="A72:B72"/>
    <mergeCell ref="A73:B73"/>
    <mergeCell ref="A74:B74"/>
    <mergeCell ref="A75:B75"/>
    <mergeCell ref="A76:B76"/>
    <mergeCell ref="A65:B65"/>
    <mergeCell ref="A66:B66"/>
    <mergeCell ref="A67:B67"/>
    <mergeCell ref="A68:B68"/>
    <mergeCell ref="A69:B69"/>
    <mergeCell ref="A70:B70"/>
    <mergeCell ref="A78:I78"/>
    <mergeCell ref="J78:L78"/>
    <mergeCell ref="A79:I81"/>
    <mergeCell ref="J79:L81"/>
    <mergeCell ref="A82:C83"/>
    <mergeCell ref="D82:E82"/>
    <mergeCell ref="F82:G82"/>
    <mergeCell ref="D83:E83"/>
    <mergeCell ref="F83:G83"/>
    <mergeCell ref="A108:B108"/>
    <mergeCell ref="A109:B109"/>
    <mergeCell ref="A92:E92"/>
    <mergeCell ref="A86:I86"/>
    <mergeCell ref="J86:L86"/>
    <mergeCell ref="A84:I84"/>
    <mergeCell ref="J84:L84"/>
    <mergeCell ref="A85:I85"/>
    <mergeCell ref="J85:L85"/>
    <mergeCell ref="D87:E87"/>
    <mergeCell ref="F87:G87"/>
    <mergeCell ref="A128:B128"/>
    <mergeCell ref="A143:J143"/>
    <mergeCell ref="A116:B116"/>
    <mergeCell ref="A117:B117"/>
    <mergeCell ref="A118:B118"/>
    <mergeCell ref="A123:B123"/>
    <mergeCell ref="A124:B124"/>
    <mergeCell ref="A126:D126"/>
    <mergeCell ref="A110:B110"/>
    <mergeCell ref="A111:B111"/>
    <mergeCell ref="A112:B112"/>
    <mergeCell ref="A113:B113"/>
    <mergeCell ref="A114:B114"/>
    <mergeCell ref="A115:B115"/>
  </mergeCells>
  <dataValidations count="2">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9777CA24-F5B5-4C87-B4F7-60D984F29CC0}">
      <formula1>$M$3:$M$5</formula1>
      <formula2>0</formula2>
    </dataValidation>
    <dataValidation operator="equal" allowBlank="1" showErrorMessage="1" errorTitle="Smic minimum" error="attention tatal brut au minimum égal au smic pour 151,67 h" sqref="K34 J33" xr:uid="{00000000-0002-0000-0500-000001000000}">
      <formula1>0</formula1>
      <formula2>0</formula2>
    </dataValidation>
  </dataValidations>
  <printOptions horizontalCentered="1" verticalCentered="1"/>
  <pageMargins left="0.11811023622047245" right="0.11811023622047245" top="0.59055118110236227" bottom="0.35433070866141736" header="0.31496062992125984" footer="0.31496062992125984"/>
  <pageSetup paperSize="9" scale="75" orientation="portrait" horizontalDpi="300" verticalDpi="300"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AA0C9-9CE9-4EFE-A379-72B15F2E1AC8}">
  <dimension ref="A1:G90"/>
  <sheetViews>
    <sheetView topLeftCell="B60" workbookViewId="0">
      <selection activeCell="B64" sqref="B64:C64"/>
    </sheetView>
  </sheetViews>
  <sheetFormatPr baseColWidth="10" defaultRowHeight="15" x14ac:dyDescent="0.25"/>
  <cols>
    <col min="1" max="1" width="4" hidden="1" customWidth="1"/>
    <col min="2" max="2" width="29" customWidth="1"/>
    <col min="3" max="3" width="19" customWidth="1"/>
    <col min="4" max="4" width="19" style="293" customWidth="1"/>
    <col min="5" max="5" width="19" style="32" customWidth="1"/>
    <col min="6" max="6" width="19" style="38" customWidth="1"/>
  </cols>
  <sheetData>
    <row r="1" spans="1:6" ht="48" customHeight="1" x14ac:dyDescent="0.25">
      <c r="B1" s="758" t="s">
        <v>68</v>
      </c>
      <c r="C1" s="759"/>
      <c r="D1" s="30" t="s">
        <v>69</v>
      </c>
      <c r="E1" s="272" t="s">
        <v>70</v>
      </c>
    </row>
    <row r="2" spans="1:6" ht="24.75" customHeight="1" x14ac:dyDescent="0.25">
      <c r="B2" s="760" t="s">
        <v>262</v>
      </c>
      <c r="C2" s="761"/>
      <c r="D2" s="30"/>
      <c r="E2" s="272"/>
    </row>
    <row r="3" spans="1:6" s="60" customFormat="1" ht="19.5" customHeight="1" x14ac:dyDescent="0.25">
      <c r="A3" s="204" t="s">
        <v>80</v>
      </c>
      <c r="B3" s="762" t="s">
        <v>720</v>
      </c>
      <c r="C3" s="763"/>
      <c r="D3" s="206"/>
      <c r="E3" s="206">
        <v>0.13</v>
      </c>
      <c r="F3" s="207"/>
    </row>
    <row r="4" spans="1:6" s="60" customFormat="1" ht="19.5" customHeight="1" x14ac:dyDescent="0.25">
      <c r="A4" s="204" t="s">
        <v>80</v>
      </c>
      <c r="B4" s="764"/>
      <c r="C4" s="765"/>
      <c r="D4" s="206"/>
      <c r="E4" s="206"/>
      <c r="F4" s="67"/>
    </row>
    <row r="5" spans="1:6" s="60" customFormat="1" ht="19.5" customHeight="1" x14ac:dyDescent="0.25">
      <c r="A5" s="204" t="s">
        <v>80</v>
      </c>
      <c r="B5" s="764" t="s">
        <v>198</v>
      </c>
      <c r="C5" s="765"/>
      <c r="D5" s="382"/>
      <c r="E5" s="382"/>
      <c r="F5" s="771"/>
    </row>
    <row r="6" spans="1:6" s="60" customFormat="1" ht="19.5" customHeight="1" x14ac:dyDescent="0.25">
      <c r="A6" s="204" t="s">
        <v>80</v>
      </c>
      <c r="B6" s="764" t="s">
        <v>250</v>
      </c>
      <c r="C6" s="765"/>
      <c r="D6" s="206"/>
      <c r="E6" s="206"/>
      <c r="F6" s="771"/>
    </row>
    <row r="7" spans="1:6" s="60" customFormat="1" ht="19.5" customHeight="1" x14ac:dyDescent="0.25">
      <c r="B7" s="772"/>
      <c r="C7" s="773"/>
      <c r="D7" s="773"/>
      <c r="E7" s="774"/>
      <c r="F7" s="273"/>
    </row>
    <row r="8" spans="1:6" s="60" customFormat="1" ht="19.5" customHeight="1" x14ac:dyDescent="0.25">
      <c r="B8" s="799" t="s">
        <v>38</v>
      </c>
      <c r="C8" s="800"/>
      <c r="D8" s="274"/>
      <c r="E8" s="275"/>
    </row>
    <row r="9" spans="1:6" s="60" customFormat="1" ht="19.5" customHeight="1" x14ac:dyDescent="0.25">
      <c r="B9" s="797" t="s">
        <v>263</v>
      </c>
      <c r="C9" s="798"/>
      <c r="D9" s="33"/>
      <c r="E9" s="33"/>
    </row>
    <row r="10" spans="1:6" s="60" customFormat="1" ht="19.5" customHeight="1" x14ac:dyDescent="0.25">
      <c r="B10" s="705" t="s">
        <v>721</v>
      </c>
      <c r="C10" s="706"/>
      <c r="D10" s="34"/>
      <c r="E10" s="205">
        <v>5.2499999999999998E-2</v>
      </c>
    </row>
    <row r="11" spans="1:6" s="60" customFormat="1" ht="19.5" customHeight="1" x14ac:dyDescent="0.25">
      <c r="B11" s="803"/>
      <c r="C11" s="710"/>
      <c r="D11" s="34"/>
      <c r="E11" s="209"/>
    </row>
    <row r="12" spans="1:6" s="60" customFormat="1" ht="19.5" customHeight="1" x14ac:dyDescent="0.25">
      <c r="B12" s="801" t="s">
        <v>264</v>
      </c>
      <c r="C12" s="802"/>
      <c r="D12" s="276"/>
      <c r="E12" s="208"/>
    </row>
    <row r="13" spans="1:6" s="60" customFormat="1" ht="19.5" customHeight="1" x14ac:dyDescent="0.25">
      <c r="B13" s="775" t="s">
        <v>205</v>
      </c>
      <c r="C13" s="776"/>
      <c r="D13" s="210"/>
      <c r="E13" s="210">
        <v>0.04</v>
      </c>
    </row>
    <row r="14" spans="1:6" s="60" customFormat="1" ht="19.5" customHeight="1" x14ac:dyDescent="0.25">
      <c r="B14" s="775" t="s">
        <v>220</v>
      </c>
      <c r="C14" s="776"/>
      <c r="D14" s="210"/>
      <c r="E14" s="210">
        <v>2.5000000000000001E-3</v>
      </c>
    </row>
    <row r="15" spans="1:6" s="60" customFormat="1" ht="19.5" customHeight="1" x14ac:dyDescent="0.25">
      <c r="B15" s="777" t="s">
        <v>276</v>
      </c>
      <c r="C15" s="778"/>
      <c r="D15" s="277">
        <v>2.4000000000000001E-4</v>
      </c>
      <c r="E15" s="278">
        <v>3.6000000000000002E-4</v>
      </c>
    </row>
    <row r="16" spans="1:6" s="60" customFormat="1" ht="19.5" customHeight="1" x14ac:dyDescent="0.25">
      <c r="B16" s="779" t="s">
        <v>39</v>
      </c>
      <c r="C16" s="780"/>
      <c r="D16" s="780"/>
      <c r="E16" s="780"/>
    </row>
    <row r="17" spans="1:6" s="60" customFormat="1" ht="19.5" customHeight="1" x14ac:dyDescent="0.25">
      <c r="B17" s="769" t="s">
        <v>40</v>
      </c>
      <c r="C17" s="770"/>
      <c r="D17" s="205">
        <v>6.9000000000000006E-2</v>
      </c>
      <c r="E17" s="205">
        <v>8.5500000000000007E-2</v>
      </c>
    </row>
    <row r="18" spans="1:6" s="60" customFormat="1" ht="19.5" customHeight="1" x14ac:dyDescent="0.25">
      <c r="B18" s="769" t="s">
        <v>41</v>
      </c>
      <c r="C18" s="770"/>
      <c r="D18" s="205">
        <v>4.0000000000000001E-3</v>
      </c>
      <c r="E18" s="542">
        <v>2.0199999999999999E-2</v>
      </c>
    </row>
    <row r="19" spans="1:6" s="60" customFormat="1" ht="19.5" customHeight="1" x14ac:dyDescent="0.25">
      <c r="B19" s="769" t="s">
        <v>42</v>
      </c>
      <c r="C19" s="770"/>
      <c r="D19" s="205">
        <v>3.15E-2</v>
      </c>
      <c r="E19" s="205">
        <v>4.7199999999999999E-2</v>
      </c>
    </row>
    <row r="20" spans="1:6" s="60" customFormat="1" ht="19.5" customHeight="1" x14ac:dyDescent="0.25">
      <c r="B20" s="769" t="s">
        <v>43</v>
      </c>
      <c r="C20" s="770"/>
      <c r="D20" s="205">
        <v>8.6400000000000005E-2</v>
      </c>
      <c r="E20" s="205">
        <v>0.1295</v>
      </c>
    </row>
    <row r="21" spans="1:6" s="60" customFormat="1" ht="19.5" customHeight="1" x14ac:dyDescent="0.25">
      <c r="B21" s="769" t="s">
        <v>73</v>
      </c>
      <c r="C21" s="770"/>
      <c r="D21" s="205">
        <v>8.6E-3</v>
      </c>
      <c r="E21" s="205">
        <v>1.29E-2</v>
      </c>
    </row>
    <row r="22" spans="1:6" s="60" customFormat="1" ht="19.5" customHeight="1" x14ac:dyDescent="0.25">
      <c r="B22" s="769" t="s">
        <v>74</v>
      </c>
      <c r="C22" s="770"/>
      <c r="D22" s="205">
        <v>1.0800000000000001E-2</v>
      </c>
      <c r="E22" s="205">
        <v>1.6199999999999999E-2</v>
      </c>
    </row>
    <row r="23" spans="1:6" s="60" customFormat="1" ht="19.5" customHeight="1" x14ac:dyDescent="0.25">
      <c r="B23" s="769" t="s">
        <v>75</v>
      </c>
      <c r="C23" s="770"/>
      <c r="D23" s="205">
        <v>1.4E-3</v>
      </c>
      <c r="E23" s="205">
        <v>2.0999999999999999E-3</v>
      </c>
    </row>
    <row r="24" spans="1:6" s="60" customFormat="1" ht="19.5" customHeight="1" x14ac:dyDescent="0.25">
      <c r="B24" s="769" t="s">
        <v>76</v>
      </c>
      <c r="C24" s="770"/>
      <c r="D24" s="205">
        <v>1.4E-3</v>
      </c>
      <c r="E24" s="205">
        <v>2.0999999999999999E-3</v>
      </c>
    </row>
    <row r="25" spans="1:6" s="60" customFormat="1" ht="19.5" customHeight="1" x14ac:dyDescent="0.25">
      <c r="B25" s="224"/>
      <c r="C25" s="225"/>
      <c r="D25" s="276"/>
      <c r="E25" s="208"/>
      <c r="F25" s="273"/>
    </row>
    <row r="26" spans="1:6" s="60" customFormat="1" ht="19.5" customHeight="1" x14ac:dyDescent="0.25">
      <c r="B26" s="769" t="s">
        <v>206</v>
      </c>
      <c r="C26" s="770"/>
      <c r="D26" s="34"/>
      <c r="E26" s="205">
        <v>1E-3</v>
      </c>
      <c r="F26" s="273"/>
    </row>
    <row r="27" spans="1:6" s="60" customFormat="1" ht="19.5" customHeight="1" x14ac:dyDescent="0.25">
      <c r="B27" s="804" t="s">
        <v>207</v>
      </c>
      <c r="C27" s="805"/>
      <c r="D27" s="34"/>
      <c r="E27" s="205">
        <v>5.0000000000000001E-3</v>
      </c>
      <c r="F27" s="273"/>
    </row>
    <row r="28" spans="1:6" s="60" customFormat="1" ht="19.5" customHeight="1" x14ac:dyDescent="0.25">
      <c r="B28" s="804" t="s">
        <v>181</v>
      </c>
      <c r="C28" s="805"/>
      <c r="D28" s="34"/>
      <c r="E28" s="205">
        <v>3.2000000000000001E-2</v>
      </c>
      <c r="F28" s="273" t="s">
        <v>668</v>
      </c>
    </row>
    <row r="29" spans="1:6" s="60" customFormat="1" ht="19.5" customHeight="1" x14ac:dyDescent="0.25">
      <c r="B29" s="769" t="s">
        <v>71</v>
      </c>
      <c r="C29" s="770"/>
      <c r="D29" s="34"/>
      <c r="E29" s="205">
        <v>3.0000000000000001E-3</v>
      </c>
      <c r="F29" s="273"/>
    </row>
    <row r="30" spans="1:6" s="60" customFormat="1" ht="19.5" customHeight="1" x14ac:dyDescent="0.25">
      <c r="B30" s="769" t="s">
        <v>47</v>
      </c>
      <c r="C30" s="770"/>
      <c r="D30" s="34"/>
      <c r="E30" s="205">
        <v>0.08</v>
      </c>
      <c r="F30" s="273"/>
    </row>
    <row r="31" spans="1:6" s="60" customFormat="1" ht="19.5" customHeight="1" x14ac:dyDescent="0.25">
      <c r="B31" s="220" t="s">
        <v>222</v>
      </c>
      <c r="C31" s="220"/>
      <c r="D31" s="34"/>
      <c r="E31" s="205">
        <v>0.2</v>
      </c>
      <c r="F31" s="273"/>
    </row>
    <row r="32" spans="1:6" s="60" customFormat="1" ht="15.75" x14ac:dyDescent="0.25">
      <c r="A32" s="204" t="s">
        <v>81</v>
      </c>
      <c r="B32" s="769" t="s">
        <v>72</v>
      </c>
      <c r="C32" s="770"/>
      <c r="D32" s="34"/>
      <c r="E32" s="210">
        <v>1.6000000000000001E-4</v>
      </c>
      <c r="F32" s="207"/>
    </row>
    <row r="33" spans="1:6" s="60" customFormat="1" ht="15.75" x14ac:dyDescent="0.25">
      <c r="A33" s="204" t="s">
        <v>81</v>
      </c>
      <c r="B33" s="769" t="s">
        <v>77</v>
      </c>
      <c r="C33" s="770"/>
      <c r="D33" s="31"/>
      <c r="E33" s="205">
        <v>6.7999999999999996E-3</v>
      </c>
      <c r="F33" s="207"/>
    </row>
    <row r="34" spans="1:6" s="60" customFormat="1" ht="15" customHeight="1" x14ac:dyDescent="0.25">
      <c r="A34" s="204" t="s">
        <v>81</v>
      </c>
      <c r="B34" s="769" t="s">
        <v>208</v>
      </c>
      <c r="C34" s="770"/>
      <c r="D34" s="31"/>
      <c r="E34" s="205">
        <v>0.01</v>
      </c>
      <c r="F34" s="211"/>
    </row>
    <row r="35" spans="1:6" s="60" customFormat="1" ht="15" customHeight="1" x14ac:dyDescent="0.25">
      <c r="A35" s="204" t="s">
        <v>81</v>
      </c>
      <c r="B35" s="769" t="s">
        <v>208</v>
      </c>
      <c r="C35" s="770"/>
      <c r="D35" s="31"/>
      <c r="E35" s="205">
        <v>5.4999999999999997E-3</v>
      </c>
      <c r="F35" s="211"/>
    </row>
    <row r="36" spans="1:6" s="60" customFormat="1" ht="15" customHeight="1" x14ac:dyDescent="0.25">
      <c r="A36" s="204" t="s">
        <v>81</v>
      </c>
      <c r="B36" s="769" t="s">
        <v>83</v>
      </c>
      <c r="C36" s="770"/>
      <c r="D36" s="31"/>
      <c r="E36" s="205">
        <v>4.4999999999999997E-3</v>
      </c>
      <c r="F36" s="212"/>
    </row>
    <row r="37" spans="1:6" s="60" customFormat="1" ht="15" customHeight="1" x14ac:dyDescent="0.25">
      <c r="A37" s="204" t="s">
        <v>81</v>
      </c>
      <c r="B37" s="783"/>
      <c r="C37" s="784"/>
      <c r="D37" s="276"/>
      <c r="E37" s="208"/>
      <c r="F37" s="212"/>
    </row>
    <row r="38" spans="1:6" s="60" customFormat="1" ht="15" customHeight="1" x14ac:dyDescent="0.25">
      <c r="A38" s="204" t="s">
        <v>81</v>
      </c>
      <c r="B38" s="781" t="s">
        <v>49</v>
      </c>
      <c r="C38" s="782"/>
      <c r="D38" s="279">
        <v>6.8000000000000005E-2</v>
      </c>
      <c r="E38" s="213"/>
      <c r="F38" s="535"/>
    </row>
    <row r="39" spans="1:6" s="60" customFormat="1" ht="15.75" customHeight="1" x14ac:dyDescent="0.25">
      <c r="A39" s="204" t="s">
        <v>81</v>
      </c>
      <c r="B39" s="792" t="s">
        <v>50</v>
      </c>
      <c r="C39" s="792"/>
      <c r="D39" s="279">
        <v>2.9000000000000001E-2</v>
      </c>
      <c r="E39" s="213"/>
      <c r="F39" s="207"/>
    </row>
    <row r="40" spans="1:6" s="60" customFormat="1" ht="15.75" customHeight="1" x14ac:dyDescent="0.25">
      <c r="B40" s="781" t="s">
        <v>51</v>
      </c>
      <c r="C40" s="782"/>
      <c r="D40" s="279">
        <v>6.8000000000000005E-2</v>
      </c>
      <c r="E40" s="213"/>
      <c r="F40" s="207"/>
    </row>
    <row r="41" spans="1:6" s="60" customFormat="1" ht="15" customHeight="1" x14ac:dyDescent="0.25">
      <c r="A41" s="60" t="s">
        <v>82</v>
      </c>
      <c r="B41" s="781" t="s">
        <v>52</v>
      </c>
      <c r="C41" s="782"/>
      <c r="D41" s="279">
        <v>6.8000000000000005E-2</v>
      </c>
      <c r="E41" s="213"/>
    </row>
    <row r="42" spans="1:6" s="60" customFormat="1" ht="15" customHeight="1" x14ac:dyDescent="0.25">
      <c r="A42" s="60" t="s">
        <v>82</v>
      </c>
      <c r="B42" s="781" t="s">
        <v>53</v>
      </c>
      <c r="C42" s="782"/>
      <c r="D42" s="279">
        <v>2.9000000000000001E-2</v>
      </c>
      <c r="E42" s="213"/>
    </row>
    <row r="43" spans="1:6" s="60" customFormat="1" ht="10.5" customHeight="1" x14ac:dyDescent="0.25">
      <c r="A43" s="60" t="s">
        <v>82</v>
      </c>
      <c r="B43" s="766"/>
      <c r="C43" s="767"/>
      <c r="D43" s="767"/>
      <c r="E43" s="768"/>
      <c r="F43" s="37"/>
    </row>
    <row r="44" spans="1:6" s="60" customFormat="1" ht="15" customHeight="1" x14ac:dyDescent="0.25">
      <c r="A44" s="60" t="s">
        <v>82</v>
      </c>
      <c r="B44" s="795" t="s">
        <v>265</v>
      </c>
      <c r="C44" s="796"/>
      <c r="D44" s="280"/>
      <c r="E44" s="281"/>
      <c r="F44" s="207"/>
    </row>
    <row r="45" spans="1:6" s="60" customFormat="1" ht="15" customHeight="1" x14ac:dyDescent="0.25">
      <c r="A45" s="60" t="s">
        <v>82</v>
      </c>
      <c r="B45" s="778" t="s">
        <v>253</v>
      </c>
      <c r="C45" s="792"/>
      <c r="D45" s="279"/>
      <c r="E45" s="279"/>
      <c r="F45" s="188"/>
    </row>
    <row r="46" spans="1:6" s="60" customFormat="1" ht="15" customHeight="1" x14ac:dyDescent="0.25">
      <c r="B46" s="778" t="s">
        <v>252</v>
      </c>
      <c r="C46" s="792"/>
      <c r="D46" s="279"/>
      <c r="E46" s="279"/>
      <c r="F46" s="188"/>
    </row>
    <row r="47" spans="1:6" s="60" customFormat="1" ht="15" customHeight="1" x14ac:dyDescent="0.25">
      <c r="B47" s="701" t="s">
        <v>202</v>
      </c>
      <c r="C47" s="701"/>
      <c r="D47" s="279"/>
      <c r="E47" s="279">
        <v>1.4999999999999999E-2</v>
      </c>
      <c r="F47" s="188"/>
    </row>
    <row r="48" spans="1:6" s="60" customFormat="1" ht="15" customHeight="1" x14ac:dyDescent="0.25">
      <c r="A48" s="60" t="s">
        <v>82</v>
      </c>
      <c r="B48" s="781" t="s">
        <v>203</v>
      </c>
      <c r="C48" s="782"/>
      <c r="D48" s="280"/>
      <c r="E48" s="282"/>
      <c r="F48" s="207"/>
    </row>
    <row r="49" spans="1:7" s="60" customFormat="1" ht="15" customHeight="1" x14ac:dyDescent="0.25">
      <c r="A49" s="60" t="s">
        <v>82</v>
      </c>
      <c r="B49" s="781" t="s">
        <v>204</v>
      </c>
      <c r="C49" s="782"/>
      <c r="D49" s="280"/>
      <c r="E49" s="282"/>
      <c r="F49" s="207"/>
    </row>
    <row r="50" spans="1:7" s="60" customFormat="1" ht="8.25" customHeight="1" x14ac:dyDescent="0.25">
      <c r="A50" s="60" t="s">
        <v>82</v>
      </c>
      <c r="B50" s="772"/>
      <c r="C50" s="773"/>
      <c r="D50" s="773"/>
      <c r="E50" s="774"/>
      <c r="F50" s="207"/>
    </row>
    <row r="51" spans="1:7" s="60" customFormat="1" ht="15" customHeight="1" x14ac:dyDescent="0.25">
      <c r="A51" s="60" t="s">
        <v>82</v>
      </c>
      <c r="B51" s="793" t="s">
        <v>722</v>
      </c>
      <c r="C51" s="794"/>
      <c r="D51" s="595">
        <v>4005</v>
      </c>
      <c r="E51" s="283"/>
      <c r="F51" s="207"/>
    </row>
    <row r="52" spans="1:7" s="60" customFormat="1" x14ac:dyDescent="0.25">
      <c r="B52" s="793" t="s">
        <v>723</v>
      </c>
      <c r="C52" s="794"/>
      <c r="D52" s="216">
        <v>11.88</v>
      </c>
      <c r="E52" s="214"/>
      <c r="F52" s="207"/>
    </row>
    <row r="53" spans="1:7" s="60" customFormat="1" hidden="1" x14ac:dyDescent="0.25">
      <c r="B53" s="793"/>
      <c r="C53" s="794"/>
      <c r="D53" s="216">
        <v>11.88</v>
      </c>
      <c r="E53" s="214"/>
      <c r="F53" s="207"/>
    </row>
    <row r="54" spans="1:7" s="60" customFormat="1" x14ac:dyDescent="0.25">
      <c r="B54" s="537" t="s">
        <v>724</v>
      </c>
      <c r="C54" s="538"/>
      <c r="D54" s="595">
        <v>12.02</v>
      </c>
      <c r="E54" s="214"/>
      <c r="F54" s="207"/>
    </row>
    <row r="55" spans="1:7" s="60" customFormat="1" x14ac:dyDescent="0.25">
      <c r="B55" s="793" t="s">
        <v>700</v>
      </c>
      <c r="C55" s="794"/>
      <c r="D55" s="284"/>
      <c r="E55" s="214"/>
      <c r="F55" s="207"/>
    </row>
    <row r="56" spans="1:7" s="60" customFormat="1" x14ac:dyDescent="0.25">
      <c r="B56" s="793" t="s">
        <v>700</v>
      </c>
      <c r="C56" s="794"/>
      <c r="D56" s="284"/>
      <c r="E56" s="214"/>
      <c r="F56" s="60" t="s">
        <v>725</v>
      </c>
    </row>
    <row r="57" spans="1:7" s="60" customFormat="1" x14ac:dyDescent="0.25">
      <c r="B57" s="537" t="s">
        <v>726</v>
      </c>
      <c r="C57" s="538"/>
      <c r="D57" s="284">
        <f>D54*35*52/12</f>
        <v>1823.0333333333331</v>
      </c>
      <c r="E57" s="214"/>
      <c r="F57" s="571">
        <f>ROUND(D54*151.67,2)</f>
        <v>1823.07</v>
      </c>
    </row>
    <row r="58" spans="1:7" s="60" customFormat="1" hidden="1" x14ac:dyDescent="0.25">
      <c r="B58" s="793"/>
      <c r="C58" s="794"/>
      <c r="D58" s="216"/>
      <c r="E58" s="214"/>
      <c r="F58" s="571"/>
    </row>
    <row r="59" spans="1:7" s="60" customFormat="1" hidden="1" x14ac:dyDescent="0.25">
      <c r="B59" s="781"/>
      <c r="C59" s="782"/>
      <c r="D59" s="543"/>
      <c r="E59" s="206"/>
      <c r="F59" s="571"/>
      <c r="G59" s="544"/>
    </row>
    <row r="60" spans="1:7" s="60" customFormat="1" ht="18.75" customHeight="1" x14ac:dyDescent="0.25">
      <c r="B60" s="781" t="s">
        <v>727</v>
      </c>
      <c r="C60" s="782"/>
      <c r="D60" s="543">
        <f>3*D54*35*52/12</f>
        <v>5469.1000000000013</v>
      </c>
      <c r="E60" s="206"/>
      <c r="F60" s="544">
        <f>ROUND(3*D54*151.67,2)</f>
        <v>5469.22</v>
      </c>
    </row>
    <row r="61" spans="1:7" s="60" customFormat="1" ht="31.5" customHeight="1" x14ac:dyDescent="0.25">
      <c r="B61" s="775" t="s">
        <v>728</v>
      </c>
      <c r="C61" s="776"/>
      <c r="D61" s="596">
        <v>0.37809999999999999</v>
      </c>
      <c r="E61" s="597">
        <v>0.3821</v>
      </c>
    </row>
    <row r="62" spans="1:7" s="60" customFormat="1" ht="15" customHeight="1" x14ac:dyDescent="0.25">
      <c r="A62" s="785"/>
      <c r="B62" s="786"/>
      <c r="C62" s="786"/>
      <c r="D62" s="786"/>
      <c r="E62" s="787"/>
      <c r="F62" s="223"/>
    </row>
    <row r="63" spans="1:7" s="60" customFormat="1" ht="23.25" customHeight="1" x14ac:dyDescent="0.25">
      <c r="B63" s="775" t="s">
        <v>218</v>
      </c>
      <c r="C63" s="776"/>
      <c r="D63" s="285"/>
      <c r="E63" s="286" t="s">
        <v>79</v>
      </c>
      <c r="F63" s="215"/>
    </row>
    <row r="64" spans="1:7" s="60" customFormat="1" ht="17.25" customHeight="1" x14ac:dyDescent="0.25">
      <c r="B64" s="790" t="s">
        <v>784</v>
      </c>
      <c r="C64" s="791"/>
      <c r="D64" s="285"/>
      <c r="E64" s="286" t="s">
        <v>217</v>
      </c>
      <c r="F64" s="215"/>
    </row>
    <row r="65" spans="1:6" s="60" customFormat="1" ht="18" customHeight="1" x14ac:dyDescent="0.25">
      <c r="B65" s="769" t="s">
        <v>209</v>
      </c>
      <c r="C65" s="770"/>
      <c r="D65" s="598">
        <v>7.32</v>
      </c>
      <c r="E65" s="287"/>
      <c r="F65" s="219"/>
    </row>
    <row r="66" spans="1:6" s="60" customFormat="1" ht="15" customHeight="1" x14ac:dyDescent="0.25">
      <c r="B66" s="769" t="s">
        <v>219</v>
      </c>
      <c r="C66" s="770"/>
      <c r="D66" s="545">
        <v>90.8</v>
      </c>
      <c r="E66" s="287"/>
      <c r="F66" s="219"/>
    </row>
    <row r="67" spans="1:6" s="60" customFormat="1" ht="35.25" customHeight="1" x14ac:dyDescent="0.25">
      <c r="B67" s="769" t="s">
        <v>785</v>
      </c>
      <c r="C67" s="770"/>
      <c r="D67" s="598">
        <v>748</v>
      </c>
      <c r="E67" s="217"/>
      <c r="F67" s="207"/>
    </row>
    <row r="68" spans="1:6" s="60" customFormat="1" ht="18.75" customHeight="1" x14ac:dyDescent="0.25">
      <c r="B68" s="218"/>
      <c r="C68" s="807" t="s">
        <v>271</v>
      </c>
      <c r="D68" s="807"/>
      <c r="E68" s="808" t="s">
        <v>272</v>
      </c>
      <c r="F68" s="808"/>
    </row>
    <row r="69" spans="1:6" s="60" customFormat="1" ht="18.75" customHeight="1" x14ac:dyDescent="0.25">
      <c r="B69" s="218"/>
      <c r="C69" s="294" t="s">
        <v>266</v>
      </c>
      <c r="D69" s="294" t="s">
        <v>86</v>
      </c>
      <c r="E69" s="294" t="s">
        <v>266</v>
      </c>
      <c r="F69" s="294" t="s">
        <v>86</v>
      </c>
    </row>
    <row r="70" spans="1:6" s="60" customFormat="1" ht="18.75" customHeight="1" x14ac:dyDescent="0.25">
      <c r="B70" s="303" t="s">
        <v>42</v>
      </c>
      <c r="C70" s="295">
        <v>3.15E-2</v>
      </c>
      <c r="D70" s="296">
        <v>4.7199999999999999E-2</v>
      </c>
      <c r="E70" s="295">
        <v>3.15E-2</v>
      </c>
      <c r="F70" s="296">
        <v>4.7199999999999999E-2</v>
      </c>
    </row>
    <row r="71" spans="1:6" s="60" customFormat="1" ht="18.75" customHeight="1" x14ac:dyDescent="0.25">
      <c r="B71" s="303" t="s">
        <v>267</v>
      </c>
      <c r="C71" s="295">
        <v>8.6E-3</v>
      </c>
      <c r="D71" s="295">
        <v>1.29E-2</v>
      </c>
      <c r="E71" s="295">
        <v>8.6E-3</v>
      </c>
      <c r="F71" s="295">
        <v>1.29E-2</v>
      </c>
    </row>
    <row r="72" spans="1:6" s="60" customFormat="1" ht="18.75" customHeight="1" x14ac:dyDescent="0.25">
      <c r="B72" s="303" t="s">
        <v>269</v>
      </c>
      <c r="C72" s="40"/>
      <c r="D72" s="302"/>
      <c r="E72" s="295">
        <v>1.4E-3</v>
      </c>
      <c r="F72" s="295">
        <v>2.0999999999999999E-3</v>
      </c>
    </row>
    <row r="73" spans="1:6" s="60" customFormat="1" ht="35.25" customHeight="1" x14ac:dyDescent="0.25">
      <c r="B73" s="298" t="s">
        <v>273</v>
      </c>
      <c r="C73" s="299">
        <f>+C70+C71</f>
        <v>4.0099999999999997E-2</v>
      </c>
      <c r="D73" s="299">
        <f>+D70+D71</f>
        <v>6.0100000000000001E-2</v>
      </c>
      <c r="E73" s="299">
        <f>SUM(E70:E72)</f>
        <v>4.1499999999999995E-2</v>
      </c>
      <c r="F73" s="299">
        <f>SUM(F70:F72)</f>
        <v>6.2199999999999998E-2</v>
      </c>
    </row>
    <row r="74" spans="1:6" s="60" customFormat="1" ht="27" customHeight="1" x14ac:dyDescent="0.25">
      <c r="B74" s="300"/>
      <c r="C74" s="301"/>
      <c r="D74" s="301"/>
      <c r="E74" s="301"/>
      <c r="F74" s="301"/>
    </row>
    <row r="75" spans="1:6" s="60" customFormat="1" ht="18.75" customHeight="1" x14ac:dyDescent="0.25">
      <c r="B75" s="218"/>
      <c r="C75" s="218"/>
      <c r="D75" s="297"/>
      <c r="E75" s="294" t="s">
        <v>85</v>
      </c>
      <c r="F75" s="298" t="s">
        <v>86</v>
      </c>
    </row>
    <row r="76" spans="1:6" s="60" customFormat="1" ht="18.75" customHeight="1" x14ac:dyDescent="0.25">
      <c r="B76" s="303" t="s">
        <v>43</v>
      </c>
      <c r="C76" s="218"/>
      <c r="D76" s="297"/>
      <c r="E76" s="295">
        <v>8.6400000000000005E-2</v>
      </c>
      <c r="F76" s="295">
        <v>0.1295</v>
      </c>
    </row>
    <row r="77" spans="1:6" s="60" customFormat="1" ht="18.75" customHeight="1" x14ac:dyDescent="0.25">
      <c r="B77" s="303" t="s">
        <v>268</v>
      </c>
      <c r="C77" s="218"/>
      <c r="D77" s="297"/>
      <c r="E77" s="295">
        <v>1.0800000000000001E-2</v>
      </c>
      <c r="F77" s="295">
        <v>1.6199999999999999E-2</v>
      </c>
    </row>
    <row r="78" spans="1:6" s="60" customFormat="1" ht="18.75" customHeight="1" x14ac:dyDescent="0.25">
      <c r="B78" s="303" t="s">
        <v>270</v>
      </c>
      <c r="C78" s="218"/>
      <c r="D78" s="297"/>
      <c r="E78" s="295">
        <v>1.4E-3</v>
      </c>
      <c r="F78" s="295">
        <v>2.0999999999999999E-3</v>
      </c>
    </row>
    <row r="79" spans="1:6" s="60" customFormat="1" ht="33" customHeight="1" x14ac:dyDescent="0.25">
      <c r="B79" s="298" t="s">
        <v>274</v>
      </c>
      <c r="C79" s="218"/>
      <c r="D79" s="297"/>
      <c r="E79" s="299">
        <f>SUM(E76:E78)</f>
        <v>9.8600000000000007E-2</v>
      </c>
      <c r="F79" s="299">
        <f>SUM(F76:F78)</f>
        <v>0.14779999999999999</v>
      </c>
    </row>
    <row r="80" spans="1:6" s="60" customFormat="1" ht="35.25" customHeight="1" x14ac:dyDescent="0.25">
      <c r="A80" s="189"/>
      <c r="B80" s="189"/>
      <c r="D80" s="289"/>
      <c r="E80" s="290"/>
      <c r="F80" s="189"/>
    </row>
    <row r="81" spans="2:6" s="60" customFormat="1" ht="35.25" customHeight="1" x14ac:dyDescent="0.25">
      <c r="D81" s="291"/>
      <c r="E81" s="217"/>
      <c r="F81" s="207"/>
    </row>
    <row r="82" spans="2:6" s="60" customFormat="1" ht="35.25" customHeight="1" x14ac:dyDescent="0.25">
      <c r="B82" s="610" t="s">
        <v>701</v>
      </c>
      <c r="C82" s="611"/>
      <c r="D82" s="611"/>
      <c r="E82" s="612"/>
      <c r="F82" s="207"/>
    </row>
    <row r="83" spans="2:6" s="60" customFormat="1" ht="42" customHeight="1" x14ac:dyDescent="0.25">
      <c r="B83" s="788" t="s">
        <v>210</v>
      </c>
      <c r="C83" s="789"/>
      <c r="D83" s="79" t="s">
        <v>702</v>
      </c>
      <c r="E83" s="79" t="s">
        <v>669</v>
      </c>
      <c r="F83" s="207"/>
    </row>
    <row r="84" spans="2:6" s="60" customFormat="1" ht="35.25" customHeight="1" x14ac:dyDescent="0.25">
      <c r="B84" s="610" t="s">
        <v>211</v>
      </c>
      <c r="C84" s="612"/>
      <c r="D84" s="292" t="s">
        <v>212</v>
      </c>
      <c r="E84" s="546">
        <v>3.2000000000000001E-2</v>
      </c>
      <c r="F84" s="207"/>
    </row>
    <row r="85" spans="2:6" s="60" customFormat="1" ht="35.25" customHeight="1" x14ac:dyDescent="0.25">
      <c r="B85" s="610" t="s">
        <v>213</v>
      </c>
      <c r="C85" s="612"/>
      <c r="D85" s="292" t="s">
        <v>212</v>
      </c>
      <c r="E85" s="546">
        <v>3.2000000000000001E-2</v>
      </c>
      <c r="F85" s="207"/>
    </row>
    <row r="86" spans="2:6" ht="47.25" customHeight="1" x14ac:dyDescent="0.25">
      <c r="B86" s="609" t="s">
        <v>214</v>
      </c>
      <c r="C86" s="609"/>
      <c r="D86" s="292" t="s">
        <v>670</v>
      </c>
      <c r="E86" s="292" t="s">
        <v>670</v>
      </c>
    </row>
    <row r="87" spans="2:6" ht="35.25" customHeight="1" x14ac:dyDescent="0.25">
      <c r="B87" s="806"/>
      <c r="C87" s="806"/>
      <c r="D87" s="547"/>
    </row>
    <row r="88" spans="2:6" ht="35.25" customHeight="1" x14ac:dyDescent="0.25">
      <c r="B88" t="s">
        <v>215</v>
      </c>
    </row>
    <row r="89" spans="2:6" ht="35.25" customHeight="1" x14ac:dyDescent="0.25">
      <c r="B89" s="60" t="s">
        <v>216</v>
      </c>
    </row>
    <row r="90" spans="2:6" ht="35.25" customHeight="1" x14ac:dyDescent="0.25">
      <c r="C90" s="60"/>
      <c r="D90" s="288"/>
    </row>
  </sheetData>
  <mergeCells count="72">
    <mergeCell ref="B87:C87"/>
    <mergeCell ref="B65:C65"/>
    <mergeCell ref="B66:C66"/>
    <mergeCell ref="C68:D68"/>
    <mergeCell ref="E68:F68"/>
    <mergeCell ref="B82:E82"/>
    <mergeCell ref="B67:C67"/>
    <mergeCell ref="B44:C44"/>
    <mergeCell ref="B45:C45"/>
    <mergeCell ref="B9:C9"/>
    <mergeCell ref="B8:C8"/>
    <mergeCell ref="B41:C41"/>
    <mergeCell ref="B40:C40"/>
    <mergeCell ref="B39:C39"/>
    <mergeCell ref="B12:C12"/>
    <mergeCell ref="B11:C11"/>
    <mergeCell ref="B10:C10"/>
    <mergeCell ref="B26:C26"/>
    <mergeCell ref="B27:C27"/>
    <mergeCell ref="B28:C28"/>
    <mergeCell ref="B29:C29"/>
    <mergeCell ref="B30:C30"/>
    <mergeCell ref="B38:C38"/>
    <mergeCell ref="B49:C49"/>
    <mergeCell ref="B50:E50"/>
    <mergeCell ref="B47:C47"/>
    <mergeCell ref="B60:C60"/>
    <mergeCell ref="B56:C56"/>
    <mergeCell ref="B58:C58"/>
    <mergeCell ref="B59:C59"/>
    <mergeCell ref="B37:C37"/>
    <mergeCell ref="B32:C32"/>
    <mergeCell ref="A62:E62"/>
    <mergeCell ref="B85:C85"/>
    <mergeCell ref="B86:C86"/>
    <mergeCell ref="B83:C83"/>
    <mergeCell ref="B84:C84"/>
    <mergeCell ref="B64:C64"/>
    <mergeCell ref="B63:C63"/>
    <mergeCell ref="B46:C46"/>
    <mergeCell ref="B55:C55"/>
    <mergeCell ref="B61:C61"/>
    <mergeCell ref="B53:C53"/>
    <mergeCell ref="B52:C52"/>
    <mergeCell ref="B51:C51"/>
    <mergeCell ref="B48:C48"/>
    <mergeCell ref="B24:C24"/>
    <mergeCell ref="B33:C33"/>
    <mergeCell ref="B34:C34"/>
    <mergeCell ref="B35:C35"/>
    <mergeCell ref="B36:C36"/>
    <mergeCell ref="B43:E43"/>
    <mergeCell ref="B18:C18"/>
    <mergeCell ref="B19:C19"/>
    <mergeCell ref="B20:C20"/>
    <mergeCell ref="F5:F6"/>
    <mergeCell ref="B6:C6"/>
    <mergeCell ref="B7:E7"/>
    <mergeCell ref="B13:C13"/>
    <mergeCell ref="B14:C14"/>
    <mergeCell ref="B15:C15"/>
    <mergeCell ref="B16:E16"/>
    <mergeCell ref="B17:C17"/>
    <mergeCell ref="B42:C42"/>
    <mergeCell ref="B21:C21"/>
    <mergeCell ref="B22:C22"/>
    <mergeCell ref="B23:C23"/>
    <mergeCell ref="B1:C1"/>
    <mergeCell ref="B2:C2"/>
    <mergeCell ref="B3:C3"/>
    <mergeCell ref="B4:C4"/>
    <mergeCell ref="B5:C5"/>
  </mergeCells>
  <pageMargins left="0.70866141732283472" right="0.70866141732283472" top="0.74803149606299213" bottom="0.74803149606299213" header="0.31496062992125984" footer="0.31496062992125984"/>
  <pageSetup paperSize="9" scale="80" orientation="portrait" horizontalDpi="4294967293" verticalDpi="0"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B4B016-9CF0-4CC3-BC8F-B5BAD8FB367D}">
  <dimension ref="A18:H48"/>
  <sheetViews>
    <sheetView topLeftCell="A39" workbookViewId="0">
      <selection activeCell="C44" sqref="C44"/>
    </sheetView>
  </sheetViews>
  <sheetFormatPr baseColWidth="10" defaultRowHeight="15" x14ac:dyDescent="0.25"/>
  <cols>
    <col min="2" max="2" width="26.5703125" customWidth="1"/>
  </cols>
  <sheetData>
    <row r="18" spans="2:8" s="189" customFormat="1" ht="30" customHeight="1" x14ac:dyDescent="0.25">
      <c r="B18" s="662" t="s">
        <v>729</v>
      </c>
      <c r="C18" s="662"/>
      <c r="D18" s="662"/>
      <c r="E18" s="662"/>
      <c r="F18" s="218"/>
      <c r="G18" s="218"/>
      <c r="H18" s="218"/>
    </row>
    <row r="19" spans="2:8" s="189" customFormat="1" ht="30" customHeight="1" x14ac:dyDescent="0.25">
      <c r="B19" s="658" t="s">
        <v>730</v>
      </c>
      <c r="C19" s="658"/>
      <c r="D19" s="658"/>
      <c r="E19" s="658"/>
      <c r="F19" s="218"/>
      <c r="G19" s="218"/>
      <c r="H19" s="218"/>
    </row>
    <row r="20" spans="2:8" s="189" customFormat="1" ht="30" customHeight="1" x14ac:dyDescent="0.25">
      <c r="B20" s="658" t="s">
        <v>464</v>
      </c>
      <c r="C20" s="658"/>
      <c r="D20" s="658"/>
      <c r="E20" s="572">
        <f>'TABLE DES TAUX 2026 '!D54</f>
        <v>12.02</v>
      </c>
      <c r="F20" s="218"/>
      <c r="G20" s="218"/>
      <c r="H20" s="218"/>
    </row>
    <row r="21" spans="2:8" s="189" customFormat="1" ht="30" customHeight="1" x14ac:dyDescent="0.25">
      <c r="B21" s="809"/>
      <c r="C21" s="658"/>
      <c r="D21" s="658"/>
      <c r="E21" s="573">
        <f>'BP FORMAT JUILLET 2023'!B9</f>
        <v>50</v>
      </c>
      <c r="F21" s="218"/>
      <c r="G21" s="218"/>
      <c r="H21" s="218"/>
    </row>
    <row r="22" spans="2:8" s="189" customFormat="1" ht="30" customHeight="1" x14ac:dyDescent="0.25">
      <c r="B22" s="658" t="s">
        <v>731</v>
      </c>
      <c r="C22" s="658"/>
      <c r="D22" s="658"/>
      <c r="E22" s="40">
        <f>+'TABLE DES TAUX 2026 '!D61</f>
        <v>0.37809999999999999</v>
      </c>
      <c r="F22" s="661" t="s">
        <v>732</v>
      </c>
      <c r="G22" s="659"/>
      <c r="H22" s="659"/>
    </row>
    <row r="23" spans="2:8" s="189" customFormat="1" ht="30" customHeight="1" x14ac:dyDescent="0.25">
      <c r="B23" s="658"/>
      <c r="C23" s="658"/>
      <c r="D23" s="658"/>
      <c r="E23" s="40">
        <f>+'TABLE DES TAUX 2026 '!E61</f>
        <v>0.3821</v>
      </c>
      <c r="F23" s="661" t="s">
        <v>733</v>
      </c>
      <c r="G23" s="659"/>
      <c r="H23" s="659"/>
    </row>
    <row r="24" spans="2:8" s="189" customFormat="1" ht="30" customHeight="1" x14ac:dyDescent="0.25">
      <c r="B24" s="658" t="s">
        <v>13</v>
      </c>
      <c r="C24" s="658"/>
      <c r="D24" s="658"/>
      <c r="E24" s="574">
        <f>'BP FORMAT JUILLET 2023'!B10</f>
        <v>123.40291447787524</v>
      </c>
      <c r="F24" s="218"/>
      <c r="G24" s="218"/>
      <c r="H24" s="218"/>
    </row>
    <row r="25" spans="2:8" s="189" customFormat="1" ht="30" customHeight="1" x14ac:dyDescent="0.25">
      <c r="B25" s="658" t="s">
        <v>734</v>
      </c>
      <c r="C25" s="658"/>
      <c r="D25" s="658"/>
      <c r="E25" s="575">
        <f>'BP FORMAT JUILLET 2023'!J33</f>
        <v>2034.069270090909</v>
      </c>
      <c r="F25" s="218"/>
      <c r="G25" s="218"/>
      <c r="H25" s="218"/>
    </row>
    <row r="26" spans="2:8" s="189" customFormat="1" ht="15.75" x14ac:dyDescent="0.25"/>
    <row r="27" spans="2:8" s="189" customFormat="1" ht="15.75" x14ac:dyDescent="0.25"/>
    <row r="28" spans="2:8" s="189" customFormat="1" ht="15.75" x14ac:dyDescent="0.25"/>
    <row r="29" spans="2:8" s="189" customFormat="1" ht="15.75" x14ac:dyDescent="0.25"/>
    <row r="30" spans="2:8" s="189" customFormat="1" ht="15.75" x14ac:dyDescent="0.25"/>
    <row r="31" spans="2:8" s="189" customFormat="1" ht="15.75" x14ac:dyDescent="0.25"/>
    <row r="32" spans="2:8" s="189" customFormat="1" ht="15.75" x14ac:dyDescent="0.25"/>
    <row r="33" spans="1:7" s="189" customFormat="1" ht="15.75" x14ac:dyDescent="0.25"/>
    <row r="34" spans="1:7" s="189" customFormat="1" ht="15.75" x14ac:dyDescent="0.25"/>
    <row r="35" spans="1:7" s="218" customFormat="1" ht="33.75" customHeight="1" x14ac:dyDescent="0.25">
      <c r="A35" s="40" t="s">
        <v>291</v>
      </c>
      <c r="B35" s="40" t="s">
        <v>735</v>
      </c>
      <c r="C35" s="576">
        <v>0.02</v>
      </c>
    </row>
    <row r="36" spans="1:7" s="218" customFormat="1" ht="33.75" customHeight="1" x14ac:dyDescent="0.25">
      <c r="A36" s="40" t="s">
        <v>257</v>
      </c>
      <c r="B36" s="40" t="s">
        <v>736</v>
      </c>
      <c r="C36" s="40">
        <f>IF(E21&gt;=50,E23,E22)</f>
        <v>0.3821</v>
      </c>
      <c r="D36" s="658" t="s">
        <v>737</v>
      </c>
      <c r="E36" s="658"/>
      <c r="F36" s="658"/>
      <c r="G36" s="658"/>
    </row>
    <row r="37" spans="1:7" s="218" customFormat="1" ht="33.75" customHeight="1" x14ac:dyDescent="0.25">
      <c r="A37" s="40" t="s">
        <v>221</v>
      </c>
      <c r="B37" s="40" t="s">
        <v>738</v>
      </c>
      <c r="C37" s="40">
        <f>3*E20*E24</f>
        <v>4449.9090960721815</v>
      </c>
    </row>
    <row r="38" spans="1:7" s="218" customFormat="1" ht="33.75" customHeight="1" x14ac:dyDescent="0.25">
      <c r="A38" s="40" t="s">
        <v>258</v>
      </c>
      <c r="B38" s="40" t="s">
        <v>739</v>
      </c>
      <c r="C38" s="40">
        <f>E25</f>
        <v>2034.069270090909</v>
      </c>
    </row>
    <row r="39" spans="1:7" s="218" customFormat="1" ht="33.75" customHeight="1" x14ac:dyDescent="0.25">
      <c r="A39" s="40" t="s">
        <v>740</v>
      </c>
      <c r="B39" s="40" t="s">
        <v>259</v>
      </c>
      <c r="C39" s="40">
        <f>C37/C38</f>
        <v>2.1876880799999996</v>
      </c>
    </row>
    <row r="40" spans="1:7" s="218" customFormat="1" ht="33.75" customHeight="1" x14ac:dyDescent="0.25">
      <c r="A40" s="40" t="s">
        <v>260</v>
      </c>
      <c r="B40" s="40" t="s">
        <v>741</v>
      </c>
      <c r="C40" s="40">
        <f>IF((C39-1)&lt;0,0,C39-1)</f>
        <v>1.1876880799999996</v>
      </c>
    </row>
    <row r="41" spans="1:7" s="218" customFormat="1" ht="33.75" customHeight="1" x14ac:dyDescent="0.25">
      <c r="A41" s="40" t="s">
        <v>742</v>
      </c>
      <c r="B41" s="40" t="s">
        <v>261</v>
      </c>
      <c r="C41" s="40">
        <f>C40/2</f>
        <v>0.5938440399999998</v>
      </c>
    </row>
    <row r="42" spans="1:7" s="218" customFormat="1" ht="33.75" customHeight="1" x14ac:dyDescent="0.25">
      <c r="A42" s="40" t="s">
        <v>287</v>
      </c>
      <c r="B42" s="40" t="s">
        <v>789</v>
      </c>
      <c r="C42" s="40">
        <f>POWER(C41,1.75)</f>
        <v>0.40172300595257571</v>
      </c>
    </row>
    <row r="43" spans="1:7" s="218" customFormat="1" ht="33.75" customHeight="1" x14ac:dyDescent="0.25">
      <c r="A43" s="40" t="s">
        <v>288</v>
      </c>
      <c r="B43" s="40" t="s">
        <v>790</v>
      </c>
      <c r="C43" s="40">
        <f>IF($E$21&lt;50,$E$22*C42,$E$23*C42)</f>
        <v>0.15349836057447919</v>
      </c>
    </row>
    <row r="44" spans="1:7" s="218" customFormat="1" ht="33.75" customHeight="1" x14ac:dyDescent="0.25">
      <c r="A44" s="40" t="s">
        <v>743</v>
      </c>
      <c r="B44" s="40" t="s">
        <v>744</v>
      </c>
      <c r="C44" s="602">
        <f>ROUND(IF((C35+C43)=0.02,0,C35+C43),4)</f>
        <v>0.17349999999999999</v>
      </c>
      <c r="D44" s="659"/>
      <c r="E44" s="659"/>
      <c r="F44" s="659"/>
      <c r="G44" s="659"/>
    </row>
    <row r="45" spans="1:7" s="218" customFormat="1" ht="33.75" customHeight="1" x14ac:dyDescent="0.25">
      <c r="A45" s="40" t="s">
        <v>745</v>
      </c>
      <c r="B45" s="40" t="s">
        <v>746</v>
      </c>
      <c r="C45" s="585">
        <f>ROUND((C44*E25),2)</f>
        <v>352.91</v>
      </c>
      <c r="D45" s="660" t="s">
        <v>747</v>
      </c>
      <c r="E45" s="660"/>
      <c r="F45" s="660"/>
      <c r="G45" s="660"/>
    </row>
    <row r="46" spans="1:7" s="189" customFormat="1" ht="15.75" x14ac:dyDescent="0.25"/>
    <row r="47" spans="1:7" s="29" customFormat="1" ht="15.75" x14ac:dyDescent="0.25"/>
    <row r="48" spans="1:7" s="29" customFormat="1" ht="15.75" x14ac:dyDescent="0.25"/>
  </sheetData>
  <mergeCells count="12">
    <mergeCell ref="F22:H22"/>
    <mergeCell ref="F23:H23"/>
    <mergeCell ref="B18:E18"/>
    <mergeCell ref="B19:E19"/>
    <mergeCell ref="B20:D20"/>
    <mergeCell ref="B21:D21"/>
    <mergeCell ref="B22:D23"/>
    <mergeCell ref="B24:D24"/>
    <mergeCell ref="B25:D25"/>
    <mergeCell ref="D36:G36"/>
    <mergeCell ref="D44:G44"/>
    <mergeCell ref="D45:G4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A354ED-35CD-42AF-9553-775348191BD6}">
  <dimension ref="A1:R133"/>
  <sheetViews>
    <sheetView topLeftCell="A87" zoomScale="140" zoomScaleNormal="140" workbookViewId="0">
      <selection activeCell="D89" sqref="D89:E89"/>
    </sheetView>
  </sheetViews>
  <sheetFormatPr baseColWidth="10" defaultColWidth="11.42578125" defaultRowHeight="16.5" x14ac:dyDescent="0.3"/>
  <cols>
    <col min="1" max="1" width="17.140625" style="229" customWidth="1"/>
    <col min="2" max="2" width="22.28515625" style="229" customWidth="1"/>
    <col min="3" max="3" width="11" style="226" customWidth="1"/>
    <col min="4" max="4" width="9.140625" style="227" customWidth="1"/>
    <col min="5" max="5" width="9" style="227" customWidth="1"/>
    <col min="6" max="6" width="12.28515625" style="226" customWidth="1"/>
    <col min="7" max="7" width="12.42578125" style="226" customWidth="1"/>
    <col min="8" max="8" width="8.42578125" style="26" customWidth="1"/>
    <col min="9" max="9" width="8.140625" style="26" bestFit="1" customWidth="1"/>
    <col min="10" max="10" width="11.140625" style="26" customWidth="1"/>
    <col min="11" max="11" width="12.85546875" style="26" hidden="1" customWidth="1"/>
    <col min="12" max="12" width="0.42578125" style="26" customWidth="1"/>
    <col min="13" max="13" width="12.85546875" style="26" customWidth="1"/>
    <col min="14" max="16384" width="11.42578125" style="26"/>
  </cols>
  <sheetData>
    <row r="1" spans="1:10" ht="15.75" customHeight="1" x14ac:dyDescent="0.3">
      <c r="A1" s="744" t="s">
        <v>603</v>
      </c>
      <c r="B1" s="744"/>
      <c r="C1" s="744"/>
      <c r="D1" s="744"/>
      <c r="E1" s="744"/>
      <c r="F1" s="744"/>
      <c r="G1" s="744"/>
      <c r="H1" s="745"/>
      <c r="I1" s="745"/>
      <c r="J1" s="745"/>
    </row>
    <row r="2" spans="1:10" ht="15.75" customHeight="1" x14ac:dyDescent="0.3">
      <c r="A2" s="746" t="s">
        <v>0</v>
      </c>
      <c r="B2" s="747"/>
      <c r="C2" s="747"/>
      <c r="D2" s="748"/>
      <c r="E2" s="311"/>
      <c r="F2" s="749" t="s">
        <v>1</v>
      </c>
      <c r="G2" s="750"/>
      <c r="H2" s="750"/>
      <c r="I2" s="750"/>
      <c r="J2" s="751"/>
    </row>
    <row r="3" spans="1:10" ht="15.75" customHeight="1" x14ac:dyDescent="0.3">
      <c r="A3" s="312" t="s">
        <v>2</v>
      </c>
      <c r="B3" s="752" t="str">
        <f>'Masque de Saisie'!G4</f>
        <v xml:space="preserve">ATGR </v>
      </c>
      <c r="C3" s="753"/>
      <c r="D3" s="754"/>
      <c r="E3" s="313"/>
      <c r="F3" s="314" t="s">
        <v>2</v>
      </c>
      <c r="G3" s="739" t="str">
        <f>'Masque de Saisie'!E26</f>
        <v xml:space="preserve">MARTINO </v>
      </c>
      <c r="H3" s="739"/>
      <c r="I3" s="739"/>
      <c r="J3" s="739"/>
    </row>
    <row r="4" spans="1:10" ht="15.75" customHeight="1" x14ac:dyDescent="0.3">
      <c r="A4" s="312" t="s">
        <v>3</v>
      </c>
      <c r="B4" s="752" t="str">
        <f>'Masque de Saisie'!G5</f>
        <v xml:space="preserve">3 Rue Paul Vaillant Couturier 92300 Levallois-Perret </v>
      </c>
      <c r="C4" s="753"/>
      <c r="D4" s="754"/>
      <c r="E4" s="313"/>
      <c r="F4" s="314" t="s">
        <v>4</v>
      </c>
      <c r="G4" s="739" t="str">
        <f>'Masque de Saisie'!E27</f>
        <v xml:space="preserve">Hervé </v>
      </c>
      <c r="H4" s="739"/>
      <c r="I4" s="739"/>
      <c r="J4" s="739"/>
    </row>
    <row r="5" spans="1:10" ht="15.75" customHeight="1" x14ac:dyDescent="0.3">
      <c r="A5" s="312"/>
      <c r="B5" s="736"/>
      <c r="C5" s="737"/>
      <c r="D5" s="738"/>
      <c r="E5" s="313"/>
      <c r="F5" s="314" t="s">
        <v>5</v>
      </c>
      <c r="G5" s="739" t="str">
        <f>'Masque de Saisie'!E29</f>
        <v>Responsable  Paie</v>
      </c>
      <c r="H5" s="739"/>
      <c r="I5" s="739"/>
      <c r="J5" s="739"/>
    </row>
    <row r="6" spans="1:10" ht="15.75" customHeight="1" x14ac:dyDescent="0.3">
      <c r="A6" s="312" t="s">
        <v>6</v>
      </c>
      <c r="B6" s="740">
        <f>'Masque de Saisie'!G6</f>
        <v>34464426500029</v>
      </c>
      <c r="C6" s="741"/>
      <c r="D6" s="742"/>
      <c r="E6" s="315"/>
      <c r="F6" s="314" t="s">
        <v>7</v>
      </c>
      <c r="G6" s="739">
        <f>'Masque de Saisie'!E30</f>
        <v>450</v>
      </c>
      <c r="H6" s="739"/>
      <c r="I6" s="739"/>
      <c r="J6" s="739"/>
    </row>
    <row r="7" spans="1:10" ht="15.75" customHeight="1" x14ac:dyDescent="0.3">
      <c r="A7" s="312" t="s">
        <v>8</v>
      </c>
      <c r="B7" s="736" t="str">
        <f>'Masque de Saisie'!G7</f>
        <v xml:space="preserve">7111C </v>
      </c>
      <c r="C7" s="737"/>
      <c r="D7" s="738"/>
      <c r="E7" s="313"/>
      <c r="F7" s="314" t="s">
        <v>9</v>
      </c>
      <c r="G7" s="743" t="str">
        <f>'Masque de Saisie'!E31</f>
        <v>1.63.11.59.52.55.</v>
      </c>
      <c r="H7" s="743"/>
      <c r="I7" s="743"/>
      <c r="J7" s="743"/>
    </row>
    <row r="8" spans="1:10" ht="15.75" customHeight="1" x14ac:dyDescent="0.3">
      <c r="A8" s="312" t="s">
        <v>10</v>
      </c>
      <c r="B8" s="740"/>
      <c r="C8" s="741"/>
      <c r="D8" s="742"/>
      <c r="E8" s="315"/>
      <c r="F8" s="316" t="s">
        <v>3</v>
      </c>
      <c r="G8" s="739" t="str">
        <f>'Masque de Saisie'!E28</f>
        <v xml:space="preserve">3 Rue Paul  92700 Colombes </v>
      </c>
      <c r="H8" s="739"/>
      <c r="I8" s="739"/>
      <c r="J8" s="739"/>
    </row>
    <row r="9" spans="1:10" ht="15.75" customHeight="1" x14ac:dyDescent="0.3">
      <c r="A9" s="312" t="s">
        <v>11</v>
      </c>
      <c r="B9" s="536">
        <f>'Masque de Saisie'!G9</f>
        <v>50</v>
      </c>
      <c r="C9" s="755" t="s">
        <v>787</v>
      </c>
      <c r="D9" s="738"/>
      <c r="E9" s="313"/>
      <c r="F9" s="756" t="s">
        <v>12</v>
      </c>
      <c r="G9" s="757"/>
      <c r="H9" s="318"/>
      <c r="I9" s="319">
        <f>'Masque de Saisie'!E33</f>
        <v>2</v>
      </c>
      <c r="J9" s="319" t="str">
        <f>'Masque de Saisie'!E32</f>
        <v>C</v>
      </c>
    </row>
    <row r="10" spans="1:10" ht="15.75" customHeight="1" x14ac:dyDescent="0.3">
      <c r="A10" s="321" t="s">
        <v>13</v>
      </c>
      <c r="B10" s="327">
        <f>'Masque de Saisie'!E46</f>
        <v>123.40291447787524</v>
      </c>
      <c r="C10" s="319" t="s">
        <v>14</v>
      </c>
      <c r="D10" s="427">
        <f>'Masque de Saisie'!E43</f>
        <v>12.02</v>
      </c>
      <c r="E10" s="313"/>
      <c r="F10" s="736" t="s">
        <v>233</v>
      </c>
      <c r="G10" s="738"/>
      <c r="H10" s="371">
        <f>'Masque de Saisie'!E38</f>
        <v>46082</v>
      </c>
      <c r="I10" s="323" t="s">
        <v>15</v>
      </c>
      <c r="J10" s="371">
        <f>'Masque de Saisie'!E39</f>
        <v>46112</v>
      </c>
    </row>
    <row r="11" spans="1:10" ht="30" customHeight="1" x14ac:dyDescent="0.3">
      <c r="A11" s="324"/>
      <c r="B11" s="726" t="s">
        <v>292</v>
      </c>
      <c r="C11" s="727"/>
      <c r="D11" s="728"/>
      <c r="E11" s="325"/>
      <c r="F11" s="324" t="s">
        <v>16</v>
      </c>
      <c r="G11" s="372">
        <f>'Masque de Saisie'!E39</f>
        <v>46112</v>
      </c>
      <c r="H11" s="66"/>
      <c r="I11" s="66"/>
      <c r="J11" s="373"/>
    </row>
    <row r="12" spans="1:10" ht="9.75" customHeight="1" x14ac:dyDescent="0.3">
      <c r="A12" s="729"/>
      <c r="B12" s="730"/>
      <c r="C12" s="730"/>
      <c r="D12" s="730"/>
      <c r="E12" s="730"/>
      <c r="F12" s="730"/>
      <c r="G12" s="730"/>
      <c r="H12" s="730"/>
      <c r="I12" s="730"/>
      <c r="J12" s="730"/>
    </row>
    <row r="13" spans="1:10" ht="15.75" customHeight="1" x14ac:dyDescent="0.3">
      <c r="A13" s="731" t="s">
        <v>17</v>
      </c>
      <c r="B13" s="732"/>
      <c r="C13" s="732"/>
      <c r="D13" s="732"/>
      <c r="E13" s="732"/>
      <c r="F13" s="733"/>
      <c r="G13" s="327">
        <v>151.66999999999999</v>
      </c>
      <c r="H13" s="324" t="s">
        <v>18</v>
      </c>
      <c r="I13" s="328">
        <f>J13/G13</f>
        <v>16.483154216390851</v>
      </c>
      <c r="J13" s="329">
        <f>'Masque de Saisie'!E41</f>
        <v>2500</v>
      </c>
    </row>
    <row r="14" spans="1:10" ht="19.5" hidden="1" customHeight="1" x14ac:dyDescent="0.3">
      <c r="A14" s="731" t="s">
        <v>234</v>
      </c>
      <c r="B14" s="732"/>
      <c r="C14" s="732"/>
      <c r="D14" s="732"/>
      <c r="E14" s="732"/>
      <c r="F14" s="733"/>
      <c r="G14" s="324"/>
      <c r="H14" s="324"/>
      <c r="I14" s="328"/>
      <c r="J14" s="329"/>
    </row>
    <row r="15" spans="1:10" ht="19.5" hidden="1" customHeight="1" x14ac:dyDescent="0.3">
      <c r="A15" s="731" t="s">
        <v>400</v>
      </c>
      <c r="B15" s="732"/>
      <c r="C15" s="732"/>
      <c r="D15" s="732"/>
      <c r="E15" s="732"/>
      <c r="F15" s="733"/>
      <c r="G15" s="330"/>
      <c r="H15" s="331"/>
      <c r="I15" s="328"/>
      <c r="J15" s="329"/>
    </row>
    <row r="16" spans="1:10" ht="19.5" hidden="1" customHeight="1" x14ac:dyDescent="0.3">
      <c r="A16" s="731" t="s">
        <v>401</v>
      </c>
      <c r="B16" s="732"/>
      <c r="C16" s="732"/>
      <c r="D16" s="732"/>
      <c r="E16" s="732"/>
      <c r="F16" s="733"/>
      <c r="G16" s="330"/>
      <c r="H16" s="331"/>
      <c r="I16" s="328"/>
      <c r="J16" s="329"/>
    </row>
    <row r="17" spans="1:10" ht="19.5" hidden="1" customHeight="1" x14ac:dyDescent="0.3">
      <c r="A17" s="731" t="s">
        <v>19</v>
      </c>
      <c r="B17" s="732"/>
      <c r="C17" s="732"/>
      <c r="D17" s="732"/>
      <c r="E17" s="732"/>
      <c r="F17" s="733"/>
      <c r="G17" s="330"/>
      <c r="H17" s="331" t="s">
        <v>18</v>
      </c>
      <c r="I17" s="328"/>
      <c r="J17" s="329"/>
    </row>
    <row r="18" spans="1:10" ht="19.5" hidden="1" customHeight="1" x14ac:dyDescent="0.3">
      <c r="A18" s="731" t="s">
        <v>235</v>
      </c>
      <c r="B18" s="732"/>
      <c r="C18" s="732"/>
      <c r="D18" s="732"/>
      <c r="E18" s="732"/>
      <c r="F18" s="733"/>
      <c r="G18" s="330"/>
      <c r="H18" s="331" t="s">
        <v>18</v>
      </c>
      <c r="I18" s="328"/>
      <c r="J18" s="329">
        <f t="shared" ref="J18:J21" si="0">ROUND(G18*I18,2)</f>
        <v>0</v>
      </c>
    </row>
    <row r="19" spans="1:10" ht="19.5" hidden="1" customHeight="1" x14ac:dyDescent="0.3">
      <c r="A19" s="731" t="s">
        <v>236</v>
      </c>
      <c r="B19" s="732"/>
      <c r="C19" s="732"/>
      <c r="D19" s="732"/>
      <c r="E19" s="732"/>
      <c r="F19" s="733"/>
      <c r="G19" s="330"/>
      <c r="H19" s="331" t="s">
        <v>18</v>
      </c>
      <c r="I19" s="328"/>
      <c r="J19" s="329">
        <f t="shared" si="0"/>
        <v>0</v>
      </c>
    </row>
    <row r="20" spans="1:10" ht="19.5" hidden="1" customHeight="1" x14ac:dyDescent="0.3">
      <c r="A20" s="731" t="s">
        <v>237</v>
      </c>
      <c r="B20" s="732"/>
      <c r="C20" s="732"/>
      <c r="D20" s="732"/>
      <c r="E20" s="732"/>
      <c r="F20" s="733"/>
      <c r="G20" s="330"/>
      <c r="H20" s="331" t="s">
        <v>18</v>
      </c>
      <c r="I20" s="328"/>
      <c r="J20" s="329">
        <f t="shared" si="0"/>
        <v>0</v>
      </c>
    </row>
    <row r="21" spans="1:10" ht="19.5" hidden="1" customHeight="1" x14ac:dyDescent="0.3">
      <c r="A21" s="731" t="s">
        <v>238</v>
      </c>
      <c r="B21" s="732"/>
      <c r="C21" s="732"/>
      <c r="D21" s="732"/>
      <c r="E21" s="732"/>
      <c r="F21" s="733"/>
      <c r="G21" s="457">
        <f>'Masque de Saisie'!E45</f>
        <v>0</v>
      </c>
      <c r="H21" s="331" t="s">
        <v>18</v>
      </c>
      <c r="I21" s="328">
        <f>ROUND(((J13+J16)*1.25/G13),6)</f>
        <v>20.603943000000001</v>
      </c>
      <c r="J21" s="329">
        <f t="shared" si="0"/>
        <v>0</v>
      </c>
    </row>
    <row r="22" spans="1:10" ht="19.5" hidden="1" customHeight="1" x14ac:dyDescent="0.3">
      <c r="A22" s="731" t="s">
        <v>239</v>
      </c>
      <c r="B22" s="732"/>
      <c r="C22" s="732"/>
      <c r="D22" s="732"/>
      <c r="E22" s="732"/>
      <c r="F22" s="733"/>
      <c r="G22" s="330"/>
      <c r="H22" s="331" t="s">
        <v>20</v>
      </c>
      <c r="I22" s="324"/>
      <c r="J22" s="329"/>
    </row>
    <row r="23" spans="1:10" ht="19.5" customHeight="1" x14ac:dyDescent="0.3">
      <c r="A23" s="731" t="s">
        <v>677</v>
      </c>
      <c r="B23" s="732"/>
      <c r="C23" s="732"/>
      <c r="D23" s="732"/>
      <c r="E23" s="732"/>
      <c r="F23" s="733"/>
      <c r="G23" s="326"/>
      <c r="H23" s="332"/>
      <c r="I23" s="320"/>
      <c r="J23" s="333">
        <f>-'Correction '!I47</f>
        <v>-909.09090909090912</v>
      </c>
    </row>
    <row r="24" spans="1:10" ht="19.5" hidden="1" customHeight="1" x14ac:dyDescent="0.3">
      <c r="A24" s="731" t="s">
        <v>21</v>
      </c>
      <c r="B24" s="732"/>
      <c r="C24" s="732"/>
      <c r="D24" s="732"/>
      <c r="E24" s="732"/>
      <c r="F24" s="733"/>
      <c r="G24" s="326"/>
      <c r="H24" s="332"/>
      <c r="I24" s="320"/>
      <c r="J24" s="333"/>
    </row>
    <row r="25" spans="1:10" ht="19.5" customHeight="1" x14ac:dyDescent="0.3">
      <c r="A25" s="731" t="s">
        <v>22</v>
      </c>
      <c r="B25" s="732"/>
      <c r="C25" s="732"/>
      <c r="D25" s="732"/>
      <c r="E25" s="732"/>
      <c r="F25" s="733"/>
      <c r="G25" s="326"/>
      <c r="H25" s="332"/>
      <c r="I25" s="320"/>
      <c r="J25" s="333">
        <f>'Correction '!I61</f>
        <v>443.16017918181808</v>
      </c>
    </row>
    <row r="26" spans="1:10" ht="19.5" hidden="1" customHeight="1" x14ac:dyDescent="0.3">
      <c r="A26" s="718" t="s">
        <v>23</v>
      </c>
      <c r="B26" s="719"/>
      <c r="C26" s="719"/>
      <c r="D26" s="719"/>
      <c r="E26" s="719"/>
      <c r="F26" s="720"/>
      <c r="G26" s="326"/>
      <c r="H26" s="332"/>
      <c r="I26" s="320"/>
      <c r="J26" s="333"/>
    </row>
    <row r="27" spans="1:10" ht="19.5" hidden="1" customHeight="1" x14ac:dyDescent="0.3">
      <c r="A27" s="718" t="s">
        <v>24</v>
      </c>
      <c r="B27" s="719"/>
      <c r="C27" s="719"/>
      <c r="D27" s="719"/>
      <c r="E27" s="719"/>
      <c r="F27" s="720"/>
      <c r="G27" s="326"/>
      <c r="H27" s="332"/>
      <c r="I27" s="320"/>
      <c r="J27" s="333"/>
    </row>
    <row r="28" spans="1:10" ht="19.5" hidden="1" customHeight="1" x14ac:dyDescent="0.3">
      <c r="A28" s="718" t="s">
        <v>25</v>
      </c>
      <c r="B28" s="719"/>
      <c r="C28" s="719"/>
      <c r="D28" s="719"/>
      <c r="E28" s="719"/>
      <c r="F28" s="720"/>
      <c r="G28" s="326"/>
      <c r="H28" s="332"/>
      <c r="I28" s="320"/>
      <c r="J28" s="333"/>
    </row>
    <row r="29" spans="1:10" ht="19.5" hidden="1" customHeight="1" x14ac:dyDescent="0.3">
      <c r="A29" s="718" t="s">
        <v>26</v>
      </c>
      <c r="B29" s="719"/>
      <c r="C29" s="719"/>
      <c r="D29" s="719"/>
      <c r="E29" s="719"/>
      <c r="F29" s="720"/>
      <c r="G29" s="326"/>
      <c r="H29" s="332"/>
      <c r="I29" s="320"/>
      <c r="J29" s="333"/>
    </row>
    <row r="30" spans="1:10" ht="19.5" hidden="1" customHeight="1" x14ac:dyDescent="0.3">
      <c r="A30" s="718" t="s">
        <v>27</v>
      </c>
      <c r="B30" s="719"/>
      <c r="C30" s="719"/>
      <c r="D30" s="719"/>
      <c r="E30" s="719"/>
      <c r="F30" s="720"/>
      <c r="G30" s="326"/>
      <c r="H30" s="332"/>
      <c r="I30" s="320"/>
      <c r="J30" s="333"/>
    </row>
    <row r="31" spans="1:10" ht="19.5" hidden="1" customHeight="1" x14ac:dyDescent="0.3">
      <c r="A31" s="718" t="s">
        <v>28</v>
      </c>
      <c r="B31" s="719"/>
      <c r="C31" s="719"/>
      <c r="D31" s="719"/>
      <c r="E31" s="719"/>
      <c r="F31" s="720"/>
      <c r="G31" s="326"/>
      <c r="H31" s="332"/>
      <c r="I31" s="320"/>
      <c r="J31" s="333"/>
    </row>
    <row r="32" spans="1:10" ht="19.5" hidden="1" customHeight="1" x14ac:dyDescent="0.3">
      <c r="A32" s="718"/>
      <c r="B32" s="719"/>
      <c r="C32" s="719"/>
      <c r="D32" s="719"/>
      <c r="E32" s="719"/>
      <c r="F32" s="720"/>
      <c r="G32" s="326"/>
      <c r="H32" s="332"/>
      <c r="I32" s="320"/>
      <c r="J32" s="333"/>
    </row>
    <row r="33" spans="1:10" ht="19.5" customHeight="1" x14ac:dyDescent="0.3">
      <c r="A33" s="721" t="s">
        <v>29</v>
      </c>
      <c r="B33" s="722"/>
      <c r="C33" s="334">
        <f>'Masque de Saisie'!E44</f>
        <v>4005</v>
      </c>
      <c r="D33" s="810" t="s">
        <v>30</v>
      </c>
      <c r="E33" s="811"/>
      <c r="F33" s="811"/>
      <c r="G33" s="811"/>
      <c r="H33" s="811"/>
      <c r="I33" s="812"/>
      <c r="J33" s="458">
        <f>SUM(J13:J32)</f>
        <v>2034.069270090909</v>
      </c>
    </row>
    <row r="34" spans="1:10" ht="10.5" customHeight="1" x14ac:dyDescent="0.3">
      <c r="A34" s="813"/>
      <c r="B34" s="814"/>
      <c r="C34" s="814"/>
      <c r="D34" s="814"/>
      <c r="E34" s="814"/>
      <c r="F34" s="814"/>
      <c r="G34" s="814"/>
      <c r="H34" s="814"/>
      <c r="I34" s="814"/>
      <c r="J34" s="815"/>
    </row>
    <row r="35" spans="1:10" ht="30" customHeight="1" x14ac:dyDescent="0.3">
      <c r="A35" s="816" t="s">
        <v>286</v>
      </c>
      <c r="B35" s="817"/>
      <c r="C35" s="369" t="s">
        <v>32</v>
      </c>
      <c r="D35" s="370" t="s">
        <v>33</v>
      </c>
      <c r="E35" s="370" t="s">
        <v>34</v>
      </c>
      <c r="F35" s="369" t="s">
        <v>35</v>
      </c>
      <c r="G35" s="369" t="s">
        <v>36</v>
      </c>
      <c r="H35" s="270"/>
    </row>
    <row r="36" spans="1:10" ht="17.45" customHeight="1" x14ac:dyDescent="0.3">
      <c r="A36" s="822" t="s">
        <v>37</v>
      </c>
      <c r="B36" s="823"/>
      <c r="C36" s="825"/>
      <c r="D36" s="826"/>
      <c r="E36" s="826"/>
      <c r="F36" s="826"/>
      <c r="G36" s="827"/>
    </row>
    <row r="37" spans="1:10" ht="22.5" customHeight="1" x14ac:dyDescent="0.3">
      <c r="A37" s="710" t="s">
        <v>720</v>
      </c>
      <c r="B37" s="704"/>
      <c r="C37" s="335">
        <f>J33</f>
        <v>2034.069270090909</v>
      </c>
      <c r="D37" s="336"/>
      <c r="E37" s="336">
        <f>VLOOKUP(A37,TAUX2023,4,FALSE)</f>
        <v>0.13</v>
      </c>
      <c r="F37" s="337"/>
      <c r="G37" s="335">
        <f>ROUND(C37*E37,2)</f>
        <v>264.43</v>
      </c>
      <c r="J37" s="228"/>
    </row>
    <row r="38" spans="1:10" ht="22.5" hidden="1" customHeight="1" x14ac:dyDescent="0.3">
      <c r="A38" s="710"/>
      <c r="B38" s="704"/>
      <c r="C38" s="338"/>
      <c r="D38" s="336"/>
      <c r="E38" s="336"/>
      <c r="F38" s="337"/>
      <c r="G38" s="335"/>
      <c r="J38" s="228"/>
    </row>
    <row r="39" spans="1:10" ht="22.5" hidden="1" customHeight="1" x14ac:dyDescent="0.3">
      <c r="A39" s="826"/>
      <c r="B39" s="827"/>
      <c r="C39" s="335"/>
      <c r="D39" s="339"/>
      <c r="E39" s="339"/>
      <c r="F39" s="337">
        <f t="shared" ref="F39:F71" si="1">ROUND(C39*D39,2)</f>
        <v>0</v>
      </c>
      <c r="G39" s="335">
        <f t="shared" ref="G39:G63" si="2">ROUND(C39*E39,2)</f>
        <v>0</v>
      </c>
      <c r="J39" s="44"/>
    </row>
    <row r="40" spans="1:10" ht="22.5" customHeight="1" x14ac:dyDescent="0.3">
      <c r="A40" s="710" t="s">
        <v>250</v>
      </c>
      <c r="B40" s="704"/>
      <c r="C40" s="335">
        <f>IF(I9=1,J33,0)</f>
        <v>0</v>
      </c>
      <c r="D40" s="336">
        <f>'Masque de Saisie'!G12</f>
        <v>0.01</v>
      </c>
      <c r="E40" s="336">
        <f>'Masque de Saisie'!H12</f>
        <v>0.02</v>
      </c>
      <c r="F40" s="337">
        <f t="shared" si="1"/>
        <v>0</v>
      </c>
      <c r="G40" s="335">
        <f t="shared" si="2"/>
        <v>0</v>
      </c>
      <c r="J40" s="44"/>
    </row>
    <row r="41" spans="1:10" ht="22.5" hidden="1" customHeight="1" x14ac:dyDescent="0.3">
      <c r="A41" s="824"/>
      <c r="B41" s="824"/>
      <c r="C41" s="335"/>
      <c r="D41" s="336"/>
      <c r="E41" s="336"/>
      <c r="F41" s="337">
        <f t="shared" si="1"/>
        <v>0</v>
      </c>
      <c r="G41" s="335">
        <f t="shared" si="2"/>
        <v>0</v>
      </c>
      <c r="J41" s="44"/>
    </row>
    <row r="42" spans="1:10" ht="22.5" hidden="1" customHeight="1" x14ac:dyDescent="0.3">
      <c r="A42" s="824"/>
      <c r="B42" s="824"/>
      <c r="C42" s="339"/>
      <c r="D42" s="339"/>
      <c r="E42" s="339"/>
      <c r="F42" s="337">
        <f t="shared" si="1"/>
        <v>0</v>
      </c>
      <c r="G42" s="335">
        <f t="shared" si="2"/>
        <v>0</v>
      </c>
      <c r="J42" s="44"/>
    </row>
    <row r="43" spans="1:10" ht="22.5" customHeight="1" x14ac:dyDescent="0.3">
      <c r="A43" s="710" t="s">
        <v>198</v>
      </c>
      <c r="B43" s="704"/>
      <c r="C43" s="335">
        <f>IF(I9=2,J33,0)</f>
        <v>2034.069270090909</v>
      </c>
      <c r="D43" s="336">
        <f>'Masque de Saisie'!G15</f>
        <v>0.01</v>
      </c>
      <c r="E43" s="336">
        <f>'Masque de Saisie'!H15</f>
        <v>0.02</v>
      </c>
      <c r="F43" s="337">
        <f t="shared" si="1"/>
        <v>20.34</v>
      </c>
      <c r="G43" s="335">
        <f t="shared" si="2"/>
        <v>40.68</v>
      </c>
      <c r="J43" s="44"/>
    </row>
    <row r="44" spans="1:10" ht="20.45" hidden="1" customHeight="1" x14ac:dyDescent="0.3">
      <c r="A44" s="708" t="s">
        <v>202</v>
      </c>
      <c r="B44" s="708"/>
      <c r="C44" s="335">
        <f>IF(I9=2,IF(E76=0,IF(J33&gt;C33,C33,J33),0),0)</f>
        <v>0</v>
      </c>
      <c r="D44" s="336"/>
      <c r="E44" s="336">
        <f>VLOOKUP(A44,TAUX2023,4,FALSE)</f>
        <v>1.4999999999999999E-2</v>
      </c>
      <c r="F44" s="349">
        <f>ROUND(C44*D44,2)</f>
        <v>0</v>
      </c>
      <c r="G44" s="214">
        <f>ROUND(C44*E44,2)</f>
        <v>0</v>
      </c>
      <c r="J44" s="44"/>
    </row>
    <row r="45" spans="1:10" ht="20.45" hidden="1" customHeight="1" x14ac:dyDescent="0.3">
      <c r="A45" s="824" t="s">
        <v>203</v>
      </c>
      <c r="B45" s="824"/>
      <c r="C45" s="340"/>
      <c r="D45" s="336">
        <f>VLOOKUP(A45,TAUX2023,3,FALSE)</f>
        <v>0</v>
      </c>
      <c r="E45" s="336">
        <f>VLOOKUP(A45,TAUX2023,4,FALSE)</f>
        <v>0</v>
      </c>
      <c r="F45" s="337">
        <f t="shared" si="1"/>
        <v>0</v>
      </c>
      <c r="G45" s="335">
        <f t="shared" si="2"/>
        <v>0</v>
      </c>
      <c r="J45" s="44"/>
    </row>
    <row r="46" spans="1:10" ht="20.45" hidden="1" customHeight="1" x14ac:dyDescent="0.3">
      <c r="A46" s="824" t="s">
        <v>204</v>
      </c>
      <c r="B46" s="824"/>
      <c r="C46" s="335"/>
      <c r="D46" s="336">
        <f>VLOOKUP(A46,TAUX2023,3,FALSE)</f>
        <v>0</v>
      </c>
      <c r="E46" s="336">
        <f>VLOOKUP(A46,TAUX2023,4,FALSE)</f>
        <v>0</v>
      </c>
      <c r="F46" s="337">
        <f t="shared" si="1"/>
        <v>0</v>
      </c>
      <c r="G46" s="335">
        <f t="shared" si="2"/>
        <v>0</v>
      </c>
      <c r="J46" s="44"/>
    </row>
    <row r="47" spans="1:10" ht="20.45" hidden="1" customHeight="1" x14ac:dyDescent="0.3">
      <c r="A47" s="860"/>
      <c r="B47" s="860"/>
      <c r="C47" s="335"/>
      <c r="D47" s="336"/>
      <c r="E47" s="336"/>
      <c r="F47" s="337">
        <f t="shared" si="1"/>
        <v>0</v>
      </c>
      <c r="G47" s="335">
        <f t="shared" si="2"/>
        <v>0</v>
      </c>
      <c r="J47" s="44"/>
    </row>
    <row r="48" spans="1:10" ht="20.45" hidden="1" customHeight="1" x14ac:dyDescent="0.3">
      <c r="A48" s="60"/>
      <c r="B48" s="60"/>
      <c r="C48" s="335"/>
      <c r="D48" s="339"/>
      <c r="E48" s="339"/>
      <c r="F48" s="337">
        <f t="shared" si="1"/>
        <v>0</v>
      </c>
      <c r="G48" s="335">
        <f t="shared" si="2"/>
        <v>0</v>
      </c>
      <c r="J48" s="44"/>
    </row>
    <row r="49" spans="1:17" ht="21.6" customHeight="1" x14ac:dyDescent="0.3">
      <c r="A49" s="818" t="s">
        <v>38</v>
      </c>
      <c r="B49" s="819"/>
      <c r="C49" s="341">
        <f>J33</f>
        <v>2034.069270090909</v>
      </c>
      <c r="D49" s="336"/>
      <c r="E49" s="336">
        <f>'Masque de Saisie'!H21</f>
        <v>1.7999999999999999E-2</v>
      </c>
      <c r="F49" s="337"/>
      <c r="G49" s="335">
        <f t="shared" si="2"/>
        <v>36.61</v>
      </c>
      <c r="J49" s="44"/>
      <c r="L49" s="832"/>
    </row>
    <row r="50" spans="1:17" ht="19.899999999999999" customHeight="1" x14ac:dyDescent="0.3">
      <c r="A50" s="818" t="s">
        <v>39</v>
      </c>
      <c r="B50" s="819"/>
      <c r="C50" s="342"/>
      <c r="D50" s="336"/>
      <c r="E50" s="336"/>
      <c r="F50" s="337"/>
      <c r="G50" s="335"/>
      <c r="L50" s="832"/>
    </row>
    <row r="51" spans="1:17" ht="18.75" customHeight="1" x14ac:dyDescent="0.3">
      <c r="A51" s="803" t="s">
        <v>40</v>
      </c>
      <c r="B51" s="710"/>
      <c r="C51" s="335">
        <f>IF(J33&gt;C33,C33,J33)</f>
        <v>2034.069270090909</v>
      </c>
      <c r="D51" s="336">
        <f>VLOOKUP(A51,TAUX2023,3,FALSE)</f>
        <v>6.9000000000000006E-2</v>
      </c>
      <c r="E51" s="336">
        <f>VLOOKUP(A51,TAUX2023,4,FALSE)</f>
        <v>8.5500000000000007E-2</v>
      </c>
      <c r="F51" s="337">
        <f t="shared" si="1"/>
        <v>140.35</v>
      </c>
      <c r="G51" s="335">
        <f t="shared" si="2"/>
        <v>173.91</v>
      </c>
    </row>
    <row r="52" spans="1:17" ht="18" customHeight="1" x14ac:dyDescent="0.3">
      <c r="A52" s="803" t="s">
        <v>41</v>
      </c>
      <c r="B52" s="710"/>
      <c r="C52" s="335">
        <f>J33</f>
        <v>2034.069270090909</v>
      </c>
      <c r="D52" s="336">
        <f>VLOOKUP(A52,TAUX2023,3,FALSE)</f>
        <v>4.0000000000000001E-3</v>
      </c>
      <c r="E52" s="336">
        <f>VLOOKUP(A52,TAUX2023,4,FALSE)</f>
        <v>2.0199999999999999E-2</v>
      </c>
      <c r="F52" s="337">
        <f t="shared" si="1"/>
        <v>8.14</v>
      </c>
      <c r="G52" s="335">
        <f t="shared" si="2"/>
        <v>41.09</v>
      </c>
    </row>
    <row r="53" spans="1:17" ht="14.45" customHeight="1" x14ac:dyDescent="0.3">
      <c r="A53" s="803" t="s">
        <v>42</v>
      </c>
      <c r="B53" s="710"/>
      <c r="C53" s="335">
        <f>IF(J33&gt;C33,C33,J33)</f>
        <v>2034.069270090909</v>
      </c>
      <c r="D53" s="343">
        <f>IF(J33&gt;C33,'TABLE DES TAUX 2026 '!E73,'TABLE DES TAUX 2026 '!C73)</f>
        <v>4.0099999999999997E-2</v>
      </c>
      <c r="E53" s="343">
        <f>IF(J33&gt;C33,'TABLE DES TAUX 2026 '!F73,'TABLE DES TAUX 2026 '!D73)</f>
        <v>6.0100000000000001E-2</v>
      </c>
      <c r="F53" s="337">
        <f t="shared" si="1"/>
        <v>81.569999999999993</v>
      </c>
      <c r="G53" s="335">
        <f t="shared" si="2"/>
        <v>122.25</v>
      </c>
      <c r="H53" s="230"/>
      <c r="I53" s="231"/>
      <c r="J53" s="232"/>
      <c r="K53" s="232"/>
      <c r="M53" s="836"/>
      <c r="N53" s="836"/>
      <c r="O53" s="836"/>
    </row>
    <row r="54" spans="1:17" ht="14.45" hidden="1" customHeight="1" x14ac:dyDescent="0.3">
      <c r="A54" s="803" t="s">
        <v>43</v>
      </c>
      <c r="B54" s="710"/>
      <c r="C54" s="344">
        <f>IF(J33&gt;C33,IF(J33&gt;8*C33,7*C33,J33-C33),0)</f>
        <v>0</v>
      </c>
      <c r="D54" s="343">
        <f>IF(J33&gt;C33,'TABLE DES TAUX 2026 '!E79,0)</f>
        <v>0</v>
      </c>
      <c r="E54" s="345">
        <f>IF(J33&gt;C33,'TABLE DES TAUX 2026 '!F79,0)</f>
        <v>0</v>
      </c>
      <c r="F54" s="337">
        <f t="shared" si="1"/>
        <v>0</v>
      </c>
      <c r="G54" s="335">
        <f t="shared" si="2"/>
        <v>0</v>
      </c>
      <c r="H54" s="230"/>
      <c r="I54" s="231"/>
      <c r="J54" s="232"/>
      <c r="K54" s="232"/>
      <c r="M54" s="837"/>
      <c r="N54" s="837"/>
      <c r="O54" s="234"/>
      <c r="P54" s="235"/>
      <c r="Q54" s="234"/>
    </row>
    <row r="55" spans="1:17" ht="14.45" hidden="1" customHeight="1" x14ac:dyDescent="0.3">
      <c r="A55" s="829"/>
      <c r="B55" s="830"/>
      <c r="C55" s="335"/>
      <c r="D55" s="345"/>
      <c r="E55" s="345">
        <f>IF(I33&gt;B32,'TABLE DES TAUX 2026 '!F78,0)</f>
        <v>0</v>
      </c>
      <c r="F55" s="337">
        <f t="shared" si="1"/>
        <v>0</v>
      </c>
      <c r="G55" s="335">
        <f t="shared" si="2"/>
        <v>0</v>
      </c>
      <c r="H55" s="230"/>
      <c r="I55" s="231"/>
      <c r="J55" s="232"/>
      <c r="K55" s="232"/>
      <c r="M55" s="233"/>
      <c r="N55" s="233"/>
      <c r="O55" s="234"/>
      <c r="P55" s="235"/>
      <c r="Q55" s="234"/>
    </row>
    <row r="56" spans="1:17" ht="14.45" hidden="1" customHeight="1" x14ac:dyDescent="0.3">
      <c r="A56" s="829"/>
      <c r="B56" s="830"/>
      <c r="C56" s="335"/>
      <c r="D56" s="345"/>
      <c r="E56" s="345">
        <f>IF(I34&gt;B33,'TABLE DES TAUX 2026 '!F79,0)</f>
        <v>0</v>
      </c>
      <c r="F56" s="337">
        <f t="shared" si="1"/>
        <v>0</v>
      </c>
      <c r="G56" s="335">
        <f t="shared" si="2"/>
        <v>0</v>
      </c>
      <c r="H56" s="230"/>
      <c r="I56" s="231"/>
      <c r="J56" s="232"/>
      <c r="K56" s="232"/>
      <c r="M56" s="233"/>
      <c r="N56" s="233"/>
      <c r="O56" s="234"/>
      <c r="P56" s="235"/>
      <c r="Q56" s="234"/>
    </row>
    <row r="57" spans="1:17" ht="14.45" customHeight="1" x14ac:dyDescent="0.3">
      <c r="A57" s="820" t="s">
        <v>44</v>
      </c>
      <c r="B57" s="821"/>
      <c r="C57" s="335"/>
      <c r="D57" s="336"/>
      <c r="E57" s="345"/>
      <c r="F57" s="337"/>
      <c r="G57" s="335"/>
      <c r="H57" s="230"/>
      <c r="I57" s="831"/>
      <c r="J57" s="831"/>
      <c r="M57" s="828"/>
      <c r="N57" s="828"/>
      <c r="P57" s="237"/>
      <c r="Q57" s="228"/>
    </row>
    <row r="58" spans="1:17" ht="20.25" customHeight="1" x14ac:dyDescent="0.3">
      <c r="A58" s="803" t="s">
        <v>721</v>
      </c>
      <c r="B58" s="710"/>
      <c r="C58" s="335">
        <f>J33</f>
        <v>2034.069270090909</v>
      </c>
      <c r="D58" s="336"/>
      <c r="E58" s="309">
        <f>VLOOKUP(A58,TAUX2023,4,FALSE)</f>
        <v>5.2499999999999998E-2</v>
      </c>
      <c r="F58" s="337"/>
      <c r="G58" s="335">
        <f t="shared" si="2"/>
        <v>106.79</v>
      </c>
      <c r="H58" s="230"/>
      <c r="I58" s="271"/>
      <c r="J58" s="271"/>
      <c r="M58" s="236"/>
      <c r="N58" s="236"/>
      <c r="P58" s="237"/>
      <c r="Q58" s="228"/>
    </row>
    <row r="59" spans="1:17" ht="15.75" customHeight="1" x14ac:dyDescent="0.3">
      <c r="A59" s="803"/>
      <c r="B59" s="710"/>
      <c r="C59" s="335"/>
      <c r="D59" s="336"/>
      <c r="E59" s="309"/>
      <c r="F59" s="337"/>
      <c r="G59" s="335"/>
      <c r="H59" s="230"/>
      <c r="I59" s="25"/>
      <c r="J59" s="271"/>
      <c r="M59" s="236"/>
      <c r="N59" s="236"/>
      <c r="P59" s="237"/>
      <c r="Q59" s="228"/>
    </row>
    <row r="60" spans="1:17" ht="15.75" customHeight="1" x14ac:dyDescent="0.3">
      <c r="A60" s="820" t="s">
        <v>45</v>
      </c>
      <c r="B60" s="821"/>
      <c r="C60" s="339"/>
      <c r="D60" s="346"/>
      <c r="E60" s="345"/>
      <c r="F60" s="337"/>
      <c r="G60" s="335"/>
      <c r="H60" s="238"/>
      <c r="I60" s="25"/>
      <c r="J60" s="271"/>
      <c r="M60" s="828"/>
      <c r="N60" s="828"/>
      <c r="O60" s="239"/>
      <c r="Q60" s="26">
        <f>'[2]TABLE DES TAUX 2019'!C12+'[2]TABLE DES TAUX 2019'!C14+'[2]TABLE DES TAUX 2019'!C35+'[2]TABLE DES TAUX 2019'!C37</f>
        <v>1.546</v>
      </c>
    </row>
    <row r="61" spans="1:17" ht="18" customHeight="1" x14ac:dyDescent="0.3">
      <c r="A61" s="803" t="s">
        <v>240</v>
      </c>
      <c r="B61" s="710"/>
      <c r="C61" s="340">
        <f>IF(J33&gt;C33,IF(J33&gt;4*C33,4*C33,J33),J33)</f>
        <v>2034.069270090909</v>
      </c>
      <c r="D61" s="345"/>
      <c r="E61" s="347">
        <f>IF(H10&gt;=45778,4%,4.05%)+'TABLE DES TAUX 2026 '!E14</f>
        <v>4.2500000000000003E-2</v>
      </c>
      <c r="F61" s="337"/>
      <c r="G61" s="335">
        <f t="shared" si="2"/>
        <v>86.45</v>
      </c>
      <c r="H61" s="238"/>
      <c r="I61" s="25"/>
      <c r="J61" s="271"/>
      <c r="M61" s="236"/>
      <c r="N61" s="236"/>
      <c r="O61" s="239"/>
    </row>
    <row r="62" spans="1:17" ht="0.75" customHeight="1" x14ac:dyDescent="0.3">
      <c r="A62" s="803"/>
      <c r="B62" s="710"/>
      <c r="C62" s="340"/>
      <c r="D62" s="345"/>
      <c r="E62" s="347"/>
      <c r="F62" s="337">
        <f t="shared" si="1"/>
        <v>0</v>
      </c>
      <c r="G62" s="335">
        <f t="shared" si="2"/>
        <v>0</v>
      </c>
      <c r="H62" s="238"/>
      <c r="I62" s="25"/>
      <c r="J62" s="271"/>
      <c r="M62" s="236"/>
      <c r="N62" s="236"/>
      <c r="O62" s="239"/>
    </row>
    <row r="63" spans="1:17" ht="17.25" customHeight="1" x14ac:dyDescent="0.3">
      <c r="A63" s="803" t="s">
        <v>276</v>
      </c>
      <c r="B63" s="710"/>
      <c r="C63" s="340">
        <f>IF(I9=2,C61,0)</f>
        <v>2034.069270090909</v>
      </c>
      <c r="D63" s="348">
        <f>VLOOKUP(A63,TAUX2023,3,FALSE)</f>
        <v>2.4000000000000001E-4</v>
      </c>
      <c r="E63" s="348">
        <f>VLOOKUP(A63,TAUX2023,4,FALSE)</f>
        <v>3.6000000000000002E-4</v>
      </c>
      <c r="F63" s="337">
        <f t="shared" si="1"/>
        <v>0.49</v>
      </c>
      <c r="G63" s="335">
        <f t="shared" si="2"/>
        <v>0.73</v>
      </c>
      <c r="H63" s="238"/>
      <c r="J63" s="44"/>
      <c r="M63" s="236"/>
      <c r="N63" s="236"/>
      <c r="O63" s="239"/>
    </row>
    <row r="64" spans="1:17" ht="26.25" customHeight="1" x14ac:dyDescent="0.3">
      <c r="A64" s="820" t="s">
        <v>46</v>
      </c>
      <c r="B64" s="821"/>
      <c r="C64" s="335"/>
      <c r="D64" s="335"/>
      <c r="E64" s="349"/>
      <c r="F64" s="337"/>
      <c r="G64" s="335">
        <f>E132</f>
        <v>131.52000000000001</v>
      </c>
      <c r="M64" s="828"/>
      <c r="N64" s="828"/>
      <c r="O64" s="230"/>
    </row>
    <row r="65" spans="1:11" ht="34.5" hidden="1" customHeight="1" x14ac:dyDescent="0.3">
      <c r="A65" s="838" t="s">
        <v>48</v>
      </c>
      <c r="B65" s="839"/>
      <c r="C65" s="350"/>
      <c r="D65" s="351"/>
      <c r="E65" s="352"/>
      <c r="F65" s="337"/>
      <c r="G65" s="335"/>
      <c r="I65" s="25"/>
      <c r="J65" s="271"/>
    </row>
    <row r="66" spans="1:11" ht="22.5" customHeight="1" x14ac:dyDescent="0.3">
      <c r="A66" s="840" t="s">
        <v>49</v>
      </c>
      <c r="B66" s="840"/>
      <c r="C66" s="344">
        <f>'HEURES SUPPLEMENTAIRES '!F136</f>
        <v>2079.8330578643181</v>
      </c>
      <c r="D66" s="353">
        <f>VLOOKUP(A66,TAUX2023,3,FALSE)</f>
        <v>6.8000000000000005E-2</v>
      </c>
      <c r="E66" s="335"/>
      <c r="F66" s="337">
        <f t="shared" si="1"/>
        <v>141.43</v>
      </c>
      <c r="G66" s="335"/>
      <c r="I66" s="25"/>
      <c r="J66" s="271"/>
    </row>
    <row r="67" spans="1:11" ht="22.5" customHeight="1" x14ac:dyDescent="0.3">
      <c r="A67" s="840" t="s">
        <v>50</v>
      </c>
      <c r="B67" s="840"/>
      <c r="C67" s="344">
        <f>C66</f>
        <v>2079.8330578643181</v>
      </c>
      <c r="D67" s="353">
        <f>VLOOKUP(A67,TAUX2023,3,FALSE)</f>
        <v>2.9000000000000001E-2</v>
      </c>
      <c r="E67" s="335"/>
      <c r="F67" s="337">
        <f t="shared" si="1"/>
        <v>60.32</v>
      </c>
      <c r="G67" s="335"/>
      <c r="I67" s="25"/>
      <c r="J67" s="271"/>
      <c r="K67" s="228"/>
    </row>
    <row r="68" spans="1:11" ht="22.5" hidden="1" customHeight="1" x14ac:dyDescent="0.3">
      <c r="A68" s="840" t="s">
        <v>243</v>
      </c>
      <c r="B68" s="840"/>
      <c r="C68" s="344">
        <f>'HEURES SUPPLEMENTAIRES '!F137</f>
        <v>0</v>
      </c>
      <c r="D68" s="353">
        <f>D66</f>
        <v>6.8000000000000005E-2</v>
      </c>
      <c r="E68" s="335"/>
      <c r="F68" s="337">
        <f t="shared" si="1"/>
        <v>0</v>
      </c>
      <c r="G68" s="335"/>
      <c r="J68" s="228"/>
      <c r="K68" s="228"/>
    </row>
    <row r="69" spans="1:11" ht="22.5" hidden="1" customHeight="1" x14ac:dyDescent="0.3">
      <c r="A69" s="840" t="s">
        <v>244</v>
      </c>
      <c r="B69" s="840"/>
      <c r="C69" s="344">
        <f>'HEURES SUPPLEMENTAIRES '!F138</f>
        <v>0</v>
      </c>
      <c r="D69" s="353">
        <f>D66</f>
        <v>6.8000000000000005E-2</v>
      </c>
      <c r="E69" s="335"/>
      <c r="F69" s="337">
        <f t="shared" si="1"/>
        <v>0</v>
      </c>
      <c r="G69" s="335"/>
      <c r="J69" s="228"/>
      <c r="K69" s="228"/>
    </row>
    <row r="70" spans="1:11" ht="22.5" hidden="1" customHeight="1" x14ac:dyDescent="0.3">
      <c r="A70" s="840" t="s">
        <v>245</v>
      </c>
      <c r="B70" s="840"/>
      <c r="C70" s="335">
        <f>+C68+C69</f>
        <v>0</v>
      </c>
      <c r="D70" s="353">
        <f>D67</f>
        <v>2.9000000000000001E-2</v>
      </c>
      <c r="E70" s="335"/>
      <c r="F70" s="337">
        <f t="shared" si="1"/>
        <v>0</v>
      </c>
      <c r="G70" s="335"/>
      <c r="J70" s="228"/>
      <c r="K70" s="228"/>
    </row>
    <row r="71" spans="1:11" ht="33" customHeight="1" x14ac:dyDescent="0.3">
      <c r="A71" s="820" t="s">
        <v>279</v>
      </c>
      <c r="B71" s="821"/>
      <c r="C71" s="354"/>
      <c r="D71" s="354"/>
      <c r="E71" s="355"/>
      <c r="F71" s="337">
        <f t="shared" si="1"/>
        <v>0</v>
      </c>
      <c r="G71" s="310">
        <f>-'HEURES SUPPLEMENTAIRES '!B145-'RGDU BP JUILLET '!C45</f>
        <v>-352.91</v>
      </c>
      <c r="J71" s="228"/>
      <c r="K71" s="228"/>
    </row>
    <row r="72" spans="1:11" ht="27" hidden="1" customHeight="1" x14ac:dyDescent="0.3">
      <c r="A72" s="803" t="s">
        <v>54</v>
      </c>
      <c r="B72" s="710"/>
      <c r="C72" s="335">
        <f>'HEURES SUPPLEMENTAIRES '!E57</f>
        <v>0</v>
      </c>
      <c r="D72" s="356">
        <f>+'HEURES SUPPLEMENTAIRES '!D57</f>
        <v>0.11310000000000001</v>
      </c>
      <c r="E72" s="357"/>
      <c r="F72" s="337">
        <f>-ROUND(C72*D72,2)</f>
        <v>0</v>
      </c>
      <c r="G72" s="358"/>
      <c r="J72" s="228"/>
      <c r="K72" s="228"/>
    </row>
    <row r="73" spans="1:11" ht="23.25" customHeight="1" x14ac:dyDescent="0.3">
      <c r="A73" s="803" t="s">
        <v>55</v>
      </c>
      <c r="B73" s="710"/>
      <c r="C73" s="335"/>
      <c r="D73" s="335"/>
      <c r="E73" s="349"/>
      <c r="F73" s="359">
        <f>SUM(F37:F72)</f>
        <v>452.64</v>
      </c>
      <c r="G73" s="360">
        <f>SUM(G37:G72)</f>
        <v>651.54999999999995</v>
      </c>
      <c r="J73" s="228"/>
    </row>
    <row r="74" spans="1:11" ht="29.25" customHeight="1" x14ac:dyDescent="0.3">
      <c r="A74" s="841" t="s">
        <v>251</v>
      </c>
      <c r="B74" s="842"/>
      <c r="C74" s="335"/>
      <c r="D74" s="335"/>
      <c r="E74" s="349"/>
      <c r="F74" s="349"/>
      <c r="G74" s="335"/>
      <c r="H74" s="228"/>
      <c r="I74" s="228"/>
    </row>
    <row r="75" spans="1:11" ht="29.25" hidden="1" customHeight="1" x14ac:dyDescent="0.3">
      <c r="A75" s="710" t="s">
        <v>252</v>
      </c>
      <c r="B75" s="704"/>
      <c r="C75" s="335">
        <f>IF(I9=1,J33,0)</f>
        <v>0</v>
      </c>
      <c r="D75" s="353">
        <f>'Masque de Saisie'!G13</f>
        <v>0.01</v>
      </c>
      <c r="E75" s="353">
        <f>'Masque de Saisie'!H13</f>
        <v>0.02</v>
      </c>
      <c r="F75" s="349">
        <f>ROUND(C75*D75,2)</f>
        <v>0</v>
      </c>
      <c r="G75" s="214">
        <f>ROUND(C75*E75,2)</f>
        <v>0</v>
      </c>
      <c r="I75" s="228"/>
    </row>
    <row r="76" spans="1:11" ht="21.6" customHeight="1" x14ac:dyDescent="0.3">
      <c r="A76" s="710" t="s">
        <v>253</v>
      </c>
      <c r="B76" s="704"/>
      <c r="C76" s="335">
        <f>IF(I9=2,J33,0)</f>
        <v>2034.069270090909</v>
      </c>
      <c r="D76" s="353">
        <f>'Masque de Saisie'!G16</f>
        <v>0.01</v>
      </c>
      <c r="E76" s="353">
        <f>'Masque de Saisie'!H16</f>
        <v>0.02</v>
      </c>
      <c r="F76" s="349">
        <f>ROUND(C76*D76,2)</f>
        <v>20.34</v>
      </c>
      <c r="G76" s="214">
        <f>ROUND(C76*E76,2)</f>
        <v>40.68</v>
      </c>
      <c r="I76" s="241"/>
      <c r="J76" s="242"/>
      <c r="K76" s="241"/>
    </row>
    <row r="77" spans="1:11" ht="21.6" hidden="1" customHeight="1" x14ac:dyDescent="0.3">
      <c r="I77" s="241"/>
      <c r="J77" s="242"/>
      <c r="K77" s="241"/>
    </row>
    <row r="78" spans="1:11" ht="21.6" hidden="1" customHeight="1" x14ac:dyDescent="0.3">
      <c r="A78" s="708" t="s">
        <v>390</v>
      </c>
      <c r="B78" s="708"/>
      <c r="C78" s="335">
        <f>J33</f>
        <v>2034.069270090909</v>
      </c>
      <c r="D78" s="353">
        <f>'Masque de Saisie'!G17</f>
        <v>0</v>
      </c>
      <c r="E78" s="353">
        <f>'Masque de Saisie'!H17</f>
        <v>0</v>
      </c>
      <c r="F78" s="349">
        <f t="shared" ref="F78" si="3">ROUND(C78*D78,2)</f>
        <v>0</v>
      </c>
      <c r="G78" s="214">
        <f t="shared" ref="G78" si="4">ROUND(C78*E78,2)</f>
        <v>0</v>
      </c>
      <c r="K78" s="228"/>
    </row>
    <row r="79" spans="1:11" ht="21.6" customHeight="1" x14ac:dyDescent="0.3">
      <c r="A79" s="863" t="s">
        <v>226</v>
      </c>
      <c r="B79" s="864"/>
      <c r="C79" s="339"/>
      <c r="D79" s="346"/>
      <c r="E79" s="346"/>
      <c r="F79" s="563">
        <f>J33-F73-F75-F76+F83</f>
        <v>1910.9792700909093</v>
      </c>
      <c r="G79" s="339"/>
      <c r="K79" s="228"/>
    </row>
    <row r="80" spans="1:11" ht="15.75" customHeight="1" x14ac:dyDescent="0.3">
      <c r="A80" s="710" t="s">
        <v>254</v>
      </c>
      <c r="B80" s="704"/>
      <c r="C80" s="339"/>
      <c r="D80" s="346"/>
      <c r="E80" s="346"/>
      <c r="F80" s="339">
        <f>'Masque de Saisie'!E47*'Masque de Saisie'!E48</f>
        <v>84</v>
      </c>
      <c r="G80" s="339">
        <f>'Masque de Saisie'!E47*'Masque de Saisie'!E49</f>
        <v>84</v>
      </c>
      <c r="K80" s="228"/>
    </row>
    <row r="81" spans="1:12" ht="18.75" customHeight="1" x14ac:dyDescent="0.3">
      <c r="A81" s="710" t="s">
        <v>255</v>
      </c>
      <c r="B81" s="704"/>
      <c r="C81" s="339"/>
      <c r="D81" s="346"/>
      <c r="E81" s="346"/>
      <c r="F81" s="426">
        <f>'Masque de Saisie'!E50</f>
        <v>45.4</v>
      </c>
      <c r="G81" s="350"/>
      <c r="K81" s="228"/>
    </row>
    <row r="82" spans="1:12" ht="22.5" hidden="1" customHeight="1" x14ac:dyDescent="0.3">
      <c r="A82" s="705" t="s">
        <v>277</v>
      </c>
      <c r="B82" s="706"/>
      <c r="C82" s="304"/>
      <c r="D82" s="305"/>
      <c r="E82" s="305"/>
      <c r="F82" s="306"/>
      <c r="G82" s="306"/>
      <c r="K82" s="228"/>
    </row>
    <row r="83" spans="1:12" ht="22.5" customHeight="1" x14ac:dyDescent="0.3">
      <c r="A83" s="710" t="s">
        <v>462</v>
      </c>
      <c r="B83" s="704"/>
      <c r="C83" s="304"/>
      <c r="D83" s="305"/>
      <c r="E83" s="305"/>
      <c r="F83" s="593">
        <f>'MATRICE IJSS ABSENCE '!G31</f>
        <v>349.89</v>
      </c>
      <c r="G83" s="306"/>
      <c r="K83" s="228"/>
    </row>
    <row r="84" spans="1:12" customFormat="1" ht="23.25" customHeight="1" x14ac:dyDescent="0.25">
      <c r="A84" s="845" t="s">
        <v>65</v>
      </c>
      <c r="B84" s="845"/>
      <c r="C84" s="845"/>
      <c r="D84" s="845"/>
      <c r="E84" s="845"/>
      <c r="F84" s="845"/>
      <c r="G84" s="845"/>
      <c r="H84" s="845"/>
      <c r="I84" s="845"/>
      <c r="J84" s="843">
        <f>J33-F73-F75-F76-F44-F78-F80+F81-F82+F83</f>
        <v>1872.3792700909094</v>
      </c>
      <c r="K84" s="844"/>
      <c r="L84" s="844"/>
    </row>
    <row r="85" spans="1:12" customFormat="1" ht="18" customHeight="1" x14ac:dyDescent="0.25">
      <c r="A85" s="845" t="s">
        <v>227</v>
      </c>
      <c r="B85" s="845"/>
      <c r="C85" s="845"/>
      <c r="D85" s="845"/>
      <c r="E85" s="845"/>
      <c r="F85" s="845"/>
      <c r="G85" s="845"/>
      <c r="H85" s="845"/>
      <c r="I85" s="845"/>
      <c r="J85" s="843">
        <f>'HEURES SUPPLEMENTAIRES '!E100</f>
        <v>1662.0892700909092</v>
      </c>
      <c r="K85" s="844"/>
      <c r="L85" s="844"/>
    </row>
    <row r="86" spans="1:12" customFormat="1" ht="23.25" customHeight="1" x14ac:dyDescent="0.25">
      <c r="A86" s="833" t="s">
        <v>228</v>
      </c>
      <c r="B86" s="833"/>
      <c r="C86" s="833"/>
      <c r="D86" s="833"/>
      <c r="E86" s="833"/>
      <c r="F86" s="833"/>
      <c r="G86" s="833"/>
      <c r="H86" s="833"/>
      <c r="I86" s="833"/>
      <c r="J86" s="834">
        <f>'HEURES SUPPLEMENTAIRES '!E57-F68</f>
        <v>0</v>
      </c>
      <c r="K86" s="834"/>
      <c r="L86" s="70"/>
    </row>
    <row r="87" spans="1:12" customFormat="1" ht="23.25" customHeight="1" x14ac:dyDescent="0.25">
      <c r="A87" s="833" t="s">
        <v>299</v>
      </c>
      <c r="B87" s="833"/>
      <c r="C87" s="833"/>
      <c r="D87" s="833"/>
      <c r="E87" s="833"/>
      <c r="F87" s="833"/>
      <c r="G87" s="833"/>
      <c r="H87" s="833"/>
      <c r="I87" s="833"/>
      <c r="J87" s="523">
        <f>'HEURES SUPPLEMENTAIRES '!G57</f>
        <v>0</v>
      </c>
      <c r="K87" s="524"/>
      <c r="L87" s="525"/>
    </row>
    <row r="88" spans="1:12" customFormat="1" ht="23.25" customHeight="1" x14ac:dyDescent="0.25">
      <c r="A88" s="850" t="s">
        <v>229</v>
      </c>
      <c r="B88" s="851"/>
      <c r="C88" s="852"/>
      <c r="D88" s="681" t="s">
        <v>60</v>
      </c>
      <c r="E88" s="681"/>
      <c r="F88" s="681" t="s">
        <v>67</v>
      </c>
      <c r="G88" s="681"/>
      <c r="H88" s="361" t="s">
        <v>61</v>
      </c>
      <c r="I88" s="67"/>
      <c r="J88" s="608" t="s">
        <v>298</v>
      </c>
      <c r="K88" s="608"/>
      <c r="L88" s="60"/>
    </row>
    <row r="89" spans="1:12" customFormat="1" ht="20.25" customHeight="1" x14ac:dyDescent="0.25">
      <c r="A89" s="853"/>
      <c r="B89" s="854"/>
      <c r="C89" s="855"/>
      <c r="D89" s="856">
        <f>'Correction '!F113</f>
        <v>2022.8585100909092</v>
      </c>
      <c r="E89" s="857"/>
      <c r="F89" s="858">
        <f>'TAUX NEUTRE '!H12</f>
        <v>2.9000000000000001E-2</v>
      </c>
      <c r="G89" s="859"/>
      <c r="H89" s="362">
        <f>ROUND(D89*F89,2)</f>
        <v>58.66</v>
      </c>
      <c r="I89" s="67"/>
      <c r="J89" s="60"/>
      <c r="K89" s="60"/>
      <c r="L89" s="60"/>
    </row>
    <row r="90" spans="1:12" customFormat="1" ht="15" x14ac:dyDescent="0.25">
      <c r="A90" s="848" t="s">
        <v>278</v>
      </c>
      <c r="B90" s="848"/>
      <c r="C90" s="848"/>
      <c r="D90" s="848"/>
      <c r="E90" s="848"/>
      <c r="F90" s="848"/>
      <c r="G90" s="848"/>
      <c r="H90" s="848"/>
      <c r="I90" s="848"/>
      <c r="J90" s="835">
        <f>J84-H89</f>
        <v>1813.7192700909093</v>
      </c>
      <c r="K90" s="835"/>
      <c r="L90" s="835"/>
    </row>
    <row r="91" spans="1:12" customFormat="1" ht="15" x14ac:dyDescent="0.25">
      <c r="A91" s="848" t="s">
        <v>58</v>
      </c>
      <c r="B91" s="848"/>
      <c r="C91" s="848"/>
      <c r="D91" s="848"/>
      <c r="E91" s="848"/>
      <c r="F91" s="848"/>
      <c r="G91" s="848"/>
      <c r="H91" s="848"/>
      <c r="I91" s="848"/>
      <c r="J91" s="835">
        <f>G73+J33+G75+G76+G44+G78</f>
        <v>2726.2992700909085</v>
      </c>
      <c r="K91" s="849"/>
      <c r="L91" s="849"/>
    </row>
    <row r="92" spans="1:12" customFormat="1" ht="15" x14ac:dyDescent="0.25">
      <c r="A92" s="64"/>
      <c r="B92" s="72" t="s">
        <v>64</v>
      </c>
      <c r="C92" s="72" t="s">
        <v>280</v>
      </c>
      <c r="D92" s="846" t="s">
        <v>282</v>
      </c>
      <c r="E92" s="847"/>
      <c r="F92" s="846" t="s">
        <v>283</v>
      </c>
      <c r="G92" s="847"/>
      <c r="H92" s="363"/>
      <c r="I92" s="363"/>
      <c r="J92" s="181"/>
      <c r="K92" s="364"/>
      <c r="L92" s="364"/>
    </row>
    <row r="93" spans="1:12" customFormat="1" ht="21" customHeight="1" x14ac:dyDescent="0.25">
      <c r="A93" s="365" t="s">
        <v>281</v>
      </c>
      <c r="B93" s="68">
        <f>H89</f>
        <v>58.66</v>
      </c>
      <c r="C93" s="68"/>
      <c r="D93" s="72" t="s">
        <v>104</v>
      </c>
      <c r="E93" s="68">
        <v>30</v>
      </c>
      <c r="F93" s="72" t="s">
        <v>293</v>
      </c>
      <c r="G93" s="68"/>
      <c r="H93" s="72"/>
      <c r="I93" s="363"/>
      <c r="J93" s="181"/>
      <c r="K93" s="364"/>
      <c r="L93" s="364"/>
    </row>
    <row r="94" spans="1:12" customFormat="1" ht="21" customHeight="1" x14ac:dyDescent="0.25">
      <c r="A94" s="366" t="s">
        <v>285</v>
      </c>
      <c r="B94" s="368">
        <f>C72</f>
        <v>0</v>
      </c>
      <c r="C94" s="368"/>
      <c r="D94" s="72" t="s">
        <v>98</v>
      </c>
      <c r="E94" s="68">
        <v>28</v>
      </c>
      <c r="F94" s="72" t="s">
        <v>242</v>
      </c>
      <c r="G94" s="68"/>
      <c r="H94" s="363"/>
      <c r="I94" s="363"/>
      <c r="J94" s="181"/>
      <c r="K94" s="364"/>
      <c r="L94" s="364"/>
    </row>
    <row r="95" spans="1:12" customFormat="1" ht="17.25" customHeight="1" x14ac:dyDescent="0.25">
      <c r="A95" s="367" t="s">
        <v>182</v>
      </c>
      <c r="B95" s="368">
        <f>J33</f>
        <v>2034.069270090909</v>
      </c>
      <c r="C95" s="368"/>
      <c r="D95" s="72" t="s">
        <v>241</v>
      </c>
      <c r="E95" s="68">
        <v>2</v>
      </c>
      <c r="F95" s="72" t="s">
        <v>241</v>
      </c>
      <c r="G95" s="68"/>
      <c r="H95" s="363"/>
      <c r="I95" s="363"/>
      <c r="J95" s="181"/>
      <c r="K95" s="364"/>
      <c r="L95" s="364"/>
    </row>
    <row r="96" spans="1:12" customFormat="1" ht="17.25" customHeight="1" x14ac:dyDescent="0.25">
      <c r="A96" s="367" t="s">
        <v>62</v>
      </c>
      <c r="B96" s="368">
        <f>+J85</f>
        <v>1662.0892700909092</v>
      </c>
      <c r="C96" s="368"/>
      <c r="D96" s="363"/>
      <c r="E96" s="363"/>
      <c r="F96" s="363"/>
      <c r="G96" s="363"/>
      <c r="H96" s="363"/>
      <c r="I96" s="363"/>
      <c r="J96" s="181"/>
      <c r="K96" s="364"/>
      <c r="L96" s="364"/>
    </row>
    <row r="97" spans="1:12" customFormat="1" ht="15" customHeight="1" x14ac:dyDescent="0.25">
      <c r="A97" s="673" t="s">
        <v>59</v>
      </c>
      <c r="B97" s="673"/>
      <c r="C97" s="673"/>
      <c r="D97" s="673"/>
      <c r="E97" s="673"/>
      <c r="F97" s="25"/>
      <c r="G97" s="25"/>
      <c r="H97" s="25"/>
      <c r="I97" s="25"/>
      <c r="J97" s="25"/>
      <c r="K97" s="25"/>
      <c r="L97" s="25"/>
    </row>
    <row r="98" spans="1:12" s="25" customFormat="1" ht="12" customHeight="1" x14ac:dyDescent="0.25">
      <c r="A98" s="45" t="s">
        <v>63</v>
      </c>
    </row>
    <row r="99" spans="1:12" s="25" customFormat="1" ht="12" customHeight="1" x14ac:dyDescent="0.25">
      <c r="A99" s="25" t="s">
        <v>300</v>
      </c>
    </row>
    <row r="100" spans="1:12" s="25" customFormat="1" ht="12" hidden="1" customHeight="1" x14ac:dyDescent="0.25">
      <c r="A100" s="45"/>
    </row>
    <row r="101" spans="1:12" s="25" customFormat="1" ht="12" hidden="1" customHeight="1" x14ac:dyDescent="0.3">
      <c r="A101" s="246" t="s">
        <v>94</v>
      </c>
      <c r="B101" s="247"/>
      <c r="C101" s="248">
        <v>7.4999999999999997E-3</v>
      </c>
      <c r="D101" s="240">
        <f>ROUND(J33*C101,2)</f>
        <v>15.26</v>
      </c>
      <c r="E101" s="227"/>
      <c r="F101" s="249"/>
      <c r="G101" s="226"/>
      <c r="H101" s="26"/>
      <c r="I101" s="26"/>
    </row>
    <row r="102" spans="1:12" ht="30.75" hidden="1" customHeight="1" x14ac:dyDescent="0.3">
      <c r="A102" s="246" t="s">
        <v>95</v>
      </c>
      <c r="B102" s="247"/>
      <c r="C102" s="250">
        <f>(2.4-0.95)%</f>
        <v>1.4499999999999999E-2</v>
      </c>
      <c r="D102" s="240">
        <f>ROUND(C61*C102,2)</f>
        <v>29.49</v>
      </c>
      <c r="F102" s="245"/>
    </row>
    <row r="103" spans="1:12" ht="30.75" hidden="1" customHeight="1" x14ac:dyDescent="0.3">
      <c r="A103" s="251" t="s">
        <v>246</v>
      </c>
      <c r="B103" s="247"/>
      <c r="D103" s="227">
        <f>D101+D102</f>
        <v>44.75</v>
      </c>
      <c r="F103" s="245"/>
    </row>
    <row r="104" spans="1:12" ht="30.75" hidden="1" customHeight="1" x14ac:dyDescent="0.3">
      <c r="A104" s="246" t="s">
        <v>247</v>
      </c>
      <c r="C104" s="227"/>
      <c r="F104" s="252"/>
    </row>
    <row r="105" spans="1:12" ht="30.75" hidden="1" customHeight="1" x14ac:dyDescent="0.3">
      <c r="A105" s="246"/>
      <c r="C105" s="227"/>
      <c r="F105" s="252"/>
    </row>
    <row r="106" spans="1:12" ht="30.75" hidden="1" customHeight="1" x14ac:dyDescent="0.3">
      <c r="A106" s="246" t="s">
        <v>96</v>
      </c>
      <c r="B106" s="253"/>
      <c r="C106" s="240">
        <v>1.7000000000000001E-2</v>
      </c>
      <c r="D106" s="240">
        <f>ROUND(C66*C106,2)</f>
        <v>35.36</v>
      </c>
      <c r="F106" s="252"/>
    </row>
    <row r="107" spans="1:12" ht="30.75" hidden="1" customHeight="1" x14ac:dyDescent="0.3">
      <c r="A107" s="254"/>
      <c r="B107" s="255"/>
      <c r="C107" s="256"/>
      <c r="D107" s="256"/>
      <c r="E107" s="256"/>
      <c r="F107" s="257"/>
    </row>
    <row r="108" spans="1:12" ht="30.75" hidden="1" customHeight="1" x14ac:dyDescent="0.3">
      <c r="A108" s="258" t="s">
        <v>248</v>
      </c>
      <c r="B108" s="259"/>
      <c r="C108" s="260"/>
      <c r="D108" s="260"/>
      <c r="E108" s="260"/>
      <c r="F108" s="261"/>
    </row>
    <row r="109" spans="1:12" ht="30.75" hidden="1" customHeight="1" x14ac:dyDescent="0.3">
      <c r="A109" s="243"/>
      <c r="B109" s="244"/>
      <c r="C109" s="262"/>
      <c r="F109" s="263"/>
    </row>
    <row r="110" spans="1:12" ht="30.75" hidden="1" customHeight="1" x14ac:dyDescent="0.3">
      <c r="A110" s="246" t="s">
        <v>94</v>
      </c>
      <c r="B110" s="247"/>
      <c r="C110" s="248">
        <v>7.4999999999999997E-3</v>
      </c>
      <c r="D110" s="240">
        <f>ROUND(J33*C110,2)</f>
        <v>15.26</v>
      </c>
      <c r="E110" s="226"/>
      <c r="F110" s="245"/>
    </row>
    <row r="111" spans="1:12" ht="30.75" hidden="1" customHeight="1" x14ac:dyDescent="0.3">
      <c r="A111" s="246" t="s">
        <v>95</v>
      </c>
      <c r="B111" s="247"/>
      <c r="C111" s="250">
        <f>(2.4)%</f>
        <v>2.4E-2</v>
      </c>
      <c r="D111" s="240">
        <f>ROUND(C61*C111,2)</f>
        <v>48.82</v>
      </c>
      <c r="E111" s="264"/>
      <c r="F111" s="245"/>
    </row>
    <row r="112" spans="1:12" ht="30.75" hidden="1" customHeight="1" x14ac:dyDescent="0.3">
      <c r="A112" s="251" t="s">
        <v>249</v>
      </c>
      <c r="B112" s="247"/>
      <c r="E112" s="264"/>
      <c r="F112" s="245"/>
    </row>
    <row r="113" spans="1:18" ht="30.75" hidden="1" customHeight="1" x14ac:dyDescent="0.3">
      <c r="A113" s="246" t="s">
        <v>247</v>
      </c>
      <c r="C113" s="227"/>
      <c r="E113" s="265">
        <f>D111+D110-D115</f>
        <v>28.72</v>
      </c>
      <c r="F113" s="245"/>
    </row>
    <row r="114" spans="1:18" ht="30.75" hidden="1" customHeight="1" x14ac:dyDescent="0.3">
      <c r="A114" s="246"/>
      <c r="C114" s="227"/>
      <c r="E114" s="264"/>
      <c r="F114" s="245"/>
    </row>
    <row r="115" spans="1:18" ht="30.75" hidden="1" customHeight="1" x14ac:dyDescent="0.3">
      <c r="A115" s="246" t="s">
        <v>96</v>
      </c>
      <c r="B115" s="253"/>
      <c r="C115" s="240">
        <v>1.7000000000000001E-2</v>
      </c>
      <c r="D115" s="240">
        <f>ROUND(C66*C115,2)</f>
        <v>35.36</v>
      </c>
      <c r="F115" s="245"/>
    </row>
    <row r="116" spans="1:18" ht="30.75" hidden="1" customHeight="1" x14ac:dyDescent="0.3">
      <c r="A116" s="266"/>
      <c r="B116" s="267"/>
      <c r="C116" s="268"/>
      <c r="D116" s="268"/>
      <c r="E116" s="268"/>
      <c r="F116" s="269"/>
    </row>
    <row r="117" spans="1:18" ht="30.75" hidden="1" customHeight="1" x14ac:dyDescent="0.3">
      <c r="B117" s="247"/>
    </row>
    <row r="118" spans="1:18" ht="30.75" customHeight="1" x14ac:dyDescent="0.3">
      <c r="A118" s="27" t="s">
        <v>88</v>
      </c>
    </row>
    <row r="119" spans="1:18" ht="30.75" customHeight="1" x14ac:dyDescent="0.3">
      <c r="A119" s="39" t="s">
        <v>256</v>
      </c>
      <c r="B119" s="307" t="s">
        <v>257</v>
      </c>
      <c r="C119" s="307" t="s">
        <v>221</v>
      </c>
      <c r="D119" s="307" t="s">
        <v>258</v>
      </c>
      <c r="E119" s="307" t="s">
        <v>259</v>
      </c>
      <c r="F119" s="187"/>
      <c r="G119" s="27"/>
      <c r="H119" s="27"/>
      <c r="I119" s="27"/>
    </row>
    <row r="120" spans="1:18" customFormat="1" ht="15.75" x14ac:dyDescent="0.25">
      <c r="A120" s="189"/>
      <c r="B120" s="60"/>
      <c r="C120" s="197" t="s">
        <v>32</v>
      </c>
      <c r="D120" s="197" t="s">
        <v>284</v>
      </c>
      <c r="E120" s="197" t="s">
        <v>99</v>
      </c>
      <c r="H120" s="27"/>
      <c r="I120" s="27"/>
      <c r="J120" s="27"/>
      <c r="K120" s="27"/>
      <c r="L120" s="27"/>
      <c r="M120" s="29"/>
      <c r="N120" s="29"/>
      <c r="O120" s="29"/>
      <c r="P120" s="29"/>
      <c r="Q120" s="29"/>
      <c r="R120" s="29"/>
    </row>
    <row r="121" spans="1:18" customFormat="1" x14ac:dyDescent="0.3">
      <c r="A121" s="229"/>
      <c r="B121" s="229"/>
      <c r="C121" s="226"/>
      <c r="D121" s="227"/>
      <c r="E121" s="46">
        <f t="shared" ref="E121:E127" si="5">ROUND(C121*D121,2)</f>
        <v>0</v>
      </c>
      <c r="H121" s="27"/>
      <c r="I121" s="27"/>
      <c r="J121" s="27"/>
      <c r="K121" s="27"/>
      <c r="L121" s="27"/>
      <c r="M121" s="29"/>
      <c r="N121" s="29"/>
      <c r="O121" s="29"/>
      <c r="P121" s="29"/>
      <c r="Q121" s="29"/>
      <c r="R121" s="29"/>
    </row>
    <row r="122" spans="1:18" customFormat="1" ht="15.75" x14ac:dyDescent="0.25">
      <c r="A122" s="670" t="s">
        <v>91</v>
      </c>
      <c r="B122" s="671"/>
      <c r="C122" s="46">
        <f>IF(B9&lt;50,IF(J33&gt;C33,C33,J33),0)</f>
        <v>0</v>
      </c>
      <c r="D122" s="53">
        <f>'TABLE DES TAUX 2026 '!E26</f>
        <v>1E-3</v>
      </c>
      <c r="E122" s="46">
        <f t="shared" si="5"/>
        <v>0</v>
      </c>
      <c r="H122" s="27"/>
      <c r="I122" s="27"/>
      <c r="J122" s="27"/>
      <c r="K122" s="27"/>
      <c r="L122" s="27"/>
      <c r="M122" s="29"/>
      <c r="N122" s="29"/>
      <c r="O122" s="29"/>
      <c r="P122" s="29"/>
      <c r="Q122" s="29"/>
      <c r="R122" s="29"/>
    </row>
    <row r="123" spans="1:18" customFormat="1" x14ac:dyDescent="0.3">
      <c r="A123" s="670" t="s">
        <v>92</v>
      </c>
      <c r="B123" s="671"/>
      <c r="C123" s="46">
        <f>IF(B9&gt;=50,J33,0)</f>
        <v>2034.069270090909</v>
      </c>
      <c r="D123" s="53">
        <f>'TABLE DES TAUX 2026 '!E27</f>
        <v>5.0000000000000001E-3</v>
      </c>
      <c r="E123" s="46">
        <f t="shared" si="5"/>
        <v>10.17</v>
      </c>
      <c r="G123" s="226"/>
      <c r="H123" s="27"/>
      <c r="I123" s="27"/>
      <c r="J123" s="27"/>
      <c r="K123" s="27"/>
      <c r="L123" s="27"/>
      <c r="M123" s="29"/>
      <c r="N123" s="29"/>
      <c r="O123" s="29"/>
      <c r="P123" s="29"/>
      <c r="Q123" s="29"/>
      <c r="R123" s="29"/>
    </row>
    <row r="124" spans="1:18" customFormat="1" x14ac:dyDescent="0.3">
      <c r="A124" s="670" t="s">
        <v>275</v>
      </c>
      <c r="B124" s="671"/>
      <c r="C124" s="46">
        <f>IF(B9&gt;=11,J33,0)</f>
        <v>2034.069270090909</v>
      </c>
      <c r="D124" s="53">
        <f>'Masque de Saisie'!H22</f>
        <v>3.2000000000000001E-2</v>
      </c>
      <c r="E124" s="46">
        <f t="shared" si="5"/>
        <v>65.09</v>
      </c>
      <c r="F124" s="226"/>
      <c r="H124" s="27"/>
      <c r="I124" s="27"/>
      <c r="J124" s="27"/>
      <c r="K124" s="27"/>
      <c r="L124" s="27"/>
      <c r="M124" s="29"/>
      <c r="N124" s="29"/>
      <c r="O124" s="29"/>
      <c r="P124" s="29"/>
      <c r="Q124" s="29"/>
      <c r="R124" s="29"/>
    </row>
    <row r="125" spans="1:18" customFormat="1" ht="15.75" x14ac:dyDescent="0.25">
      <c r="A125" s="665" t="s">
        <v>71</v>
      </c>
      <c r="B125" s="666"/>
      <c r="C125" s="46">
        <f>J33</f>
        <v>2034.069270090909</v>
      </c>
      <c r="D125" s="53">
        <f>'TABLE DES TAUX 2026 '!E29</f>
        <v>3.0000000000000001E-3</v>
      </c>
      <c r="E125" s="46">
        <f t="shared" si="5"/>
        <v>6.1</v>
      </c>
      <c r="H125" s="27"/>
      <c r="I125" s="27"/>
      <c r="J125" s="27"/>
      <c r="K125" s="27"/>
      <c r="L125" s="27"/>
      <c r="M125" s="29"/>
      <c r="N125" s="29"/>
      <c r="O125" s="29"/>
      <c r="P125" s="29"/>
      <c r="Q125" s="29"/>
      <c r="R125" s="29"/>
    </row>
    <row r="126" spans="1:18" customFormat="1" ht="15.75" x14ac:dyDescent="0.25">
      <c r="A126" s="670" t="s">
        <v>89</v>
      </c>
      <c r="B126" s="671"/>
      <c r="C126" s="46">
        <f>IF(B9&gt;=11, IF(I9=2,G43+G44+G76,G40+G75),0)</f>
        <v>81.36</v>
      </c>
      <c r="D126" s="53">
        <f>'TABLE DES TAUX 2026 '!E30</f>
        <v>0.08</v>
      </c>
      <c r="E126" s="46">
        <f t="shared" si="5"/>
        <v>6.51</v>
      </c>
      <c r="H126" s="29"/>
      <c r="I126" s="29"/>
      <c r="J126" s="27"/>
      <c r="K126" s="27"/>
      <c r="L126" s="27"/>
      <c r="M126" s="29"/>
      <c r="N126" s="29"/>
      <c r="O126" s="29"/>
      <c r="P126" s="29"/>
      <c r="Q126" s="29"/>
      <c r="R126" s="29"/>
    </row>
    <row r="127" spans="1:18" customFormat="1" ht="17.25" customHeight="1" x14ac:dyDescent="0.25">
      <c r="A127" s="666" t="s">
        <v>222</v>
      </c>
      <c r="B127" s="672"/>
      <c r="C127" s="46">
        <f>G78</f>
        <v>0</v>
      </c>
      <c r="D127" s="53">
        <f>'TABLE DES TAUX 2026 '!E31</f>
        <v>0.2</v>
      </c>
      <c r="E127" s="46">
        <f t="shared" si="5"/>
        <v>0</v>
      </c>
      <c r="H127" s="29"/>
      <c r="I127" s="29"/>
      <c r="J127" s="29"/>
      <c r="K127" s="29"/>
      <c r="L127" s="29"/>
      <c r="M127" s="29"/>
      <c r="N127" s="29"/>
      <c r="O127" s="29"/>
      <c r="P127" s="29"/>
      <c r="Q127" s="29"/>
      <c r="R127" s="29"/>
    </row>
    <row r="128" spans="1:18" customFormat="1" ht="18" customHeight="1" x14ac:dyDescent="0.25">
      <c r="A128" s="665" t="s">
        <v>72</v>
      </c>
      <c r="B128" s="666"/>
      <c r="C128" s="46">
        <f>+J33</f>
        <v>2034.069270090909</v>
      </c>
      <c r="D128" s="53">
        <f>'TABLE DES TAUX 2026 '!E32</f>
        <v>1.6000000000000001E-4</v>
      </c>
      <c r="E128" s="46">
        <f t="shared" ref="E128:E131" si="6">ROUND(C128*D128,2)</f>
        <v>0.33</v>
      </c>
      <c r="H128" s="29"/>
      <c r="I128" s="29"/>
      <c r="J128" s="29"/>
      <c r="K128" s="29"/>
      <c r="L128" s="29"/>
      <c r="M128" s="29"/>
      <c r="N128" s="29"/>
      <c r="O128" s="29"/>
      <c r="P128" s="29"/>
      <c r="Q128" s="29"/>
      <c r="R128" s="29"/>
    </row>
    <row r="129" spans="1:18" customFormat="1" ht="31.9" customHeight="1" x14ac:dyDescent="0.25">
      <c r="A129" s="861" t="s">
        <v>718</v>
      </c>
      <c r="B129" s="862"/>
      <c r="C129" s="568">
        <f>IF(B9&gt;=11,J33,0)</f>
        <v>2034.069270090909</v>
      </c>
      <c r="D129" s="569">
        <f>+'TABLE DES TAUX 2026 '!E33+'TABLE DES TAUX 2026 '!E34</f>
        <v>1.6799999999999999E-2</v>
      </c>
      <c r="E129" s="568">
        <f t="shared" si="6"/>
        <v>34.17</v>
      </c>
      <c r="H129" s="29"/>
      <c r="I129" s="29"/>
      <c r="J129" s="29"/>
      <c r="K129" s="29"/>
      <c r="L129" s="29"/>
      <c r="M129" s="29"/>
      <c r="N129" s="29"/>
      <c r="O129" s="29"/>
      <c r="P129" s="29"/>
      <c r="Q129" s="29"/>
      <c r="R129" s="29"/>
    </row>
    <row r="130" spans="1:18" customFormat="1" ht="15.75" x14ac:dyDescent="0.25">
      <c r="A130" s="861" t="s">
        <v>719</v>
      </c>
      <c r="B130" s="862"/>
      <c r="C130" s="568">
        <f>IF(B9&lt;11,J33,0)</f>
        <v>0</v>
      </c>
      <c r="D130" s="569">
        <f>+'TABLE DES TAUX 2026 '!E33+'TABLE DES TAUX 2026 '!E35</f>
        <v>1.2299999999999998E-2</v>
      </c>
      <c r="E130" s="568">
        <f t="shared" si="6"/>
        <v>0</v>
      </c>
      <c r="H130" s="29"/>
      <c r="I130" s="29"/>
      <c r="J130" s="29"/>
      <c r="K130" s="29"/>
      <c r="L130" s="29"/>
      <c r="M130" s="29"/>
      <c r="N130" s="29"/>
      <c r="O130" s="29"/>
      <c r="P130" s="29"/>
      <c r="Q130" s="29"/>
      <c r="R130" s="29"/>
    </row>
    <row r="131" spans="1:18" customFormat="1" ht="15.75" x14ac:dyDescent="0.25">
      <c r="A131" s="665" t="s">
        <v>83</v>
      </c>
      <c r="B131" s="666"/>
      <c r="C131" s="46">
        <f>IF(B9&lt;50,0,J33)</f>
        <v>2034.069270090909</v>
      </c>
      <c r="D131" s="53">
        <f>'TABLE DES TAUX 2026 '!E36</f>
        <v>4.4999999999999997E-3</v>
      </c>
      <c r="E131" s="46">
        <f t="shared" si="6"/>
        <v>9.15</v>
      </c>
      <c r="H131" s="29"/>
      <c r="I131" s="29"/>
      <c r="J131" s="29"/>
      <c r="K131" s="29"/>
      <c r="L131" s="29"/>
      <c r="M131" s="29"/>
      <c r="N131" s="29"/>
      <c r="O131" s="29"/>
      <c r="P131" s="29"/>
      <c r="Q131" s="29"/>
      <c r="R131" s="29"/>
    </row>
    <row r="132" spans="1:18" customFormat="1" ht="15.75" x14ac:dyDescent="0.25">
      <c r="A132" s="29"/>
      <c r="B132" s="29"/>
      <c r="D132" s="29"/>
      <c r="E132" s="46">
        <f>SUM(E122:E131)</f>
        <v>131.52000000000001</v>
      </c>
      <c r="G132" s="29"/>
      <c r="H132" s="29"/>
      <c r="I132" s="29"/>
      <c r="J132" s="29"/>
      <c r="K132" s="29"/>
      <c r="L132" s="29"/>
      <c r="M132" s="29"/>
      <c r="N132" s="29"/>
      <c r="O132" s="29"/>
      <c r="P132" s="29"/>
      <c r="Q132" s="29"/>
      <c r="R132" s="29"/>
    </row>
    <row r="133" spans="1:18" customFormat="1" x14ac:dyDescent="0.3">
      <c r="A133" s="229"/>
      <c r="B133" s="229"/>
      <c r="C133" s="226"/>
      <c r="D133" s="227"/>
      <c r="E133" s="227"/>
      <c r="F133" s="226"/>
      <c r="G133" s="226"/>
      <c r="H133" s="26"/>
      <c r="I133" s="26"/>
      <c r="J133" s="29"/>
      <c r="K133" s="29"/>
      <c r="L133" s="29"/>
      <c r="M133" s="29"/>
      <c r="N133" s="29"/>
      <c r="O133" s="29"/>
      <c r="P133" s="29"/>
      <c r="Q133" s="29"/>
      <c r="R133" s="29"/>
    </row>
  </sheetData>
  <mergeCells count="128">
    <mergeCell ref="F10:G10"/>
    <mergeCell ref="A131:B131"/>
    <mergeCell ref="A42:B42"/>
    <mergeCell ref="A46:B46"/>
    <mergeCell ref="A47:B47"/>
    <mergeCell ref="A125:B125"/>
    <mergeCell ref="A128:B128"/>
    <mergeCell ref="A129:B129"/>
    <mergeCell ref="A130:B130"/>
    <mergeCell ref="A97:E97"/>
    <mergeCell ref="A126:B126"/>
    <mergeCell ref="A122:B122"/>
    <mergeCell ref="A123:B123"/>
    <mergeCell ref="A124:B124"/>
    <mergeCell ref="A84:I84"/>
    <mergeCell ref="A69:B69"/>
    <mergeCell ref="A70:B70"/>
    <mergeCell ref="A71:B71"/>
    <mergeCell ref="A72:B72"/>
    <mergeCell ref="A43:B43"/>
    <mergeCell ref="A45:B45"/>
    <mergeCell ref="A76:B76"/>
    <mergeCell ref="A79:B79"/>
    <mergeCell ref="A80:B80"/>
    <mergeCell ref="A81:B81"/>
    <mergeCell ref="A82:B82"/>
    <mergeCell ref="A78:B78"/>
    <mergeCell ref="A83:B83"/>
    <mergeCell ref="D92:E92"/>
    <mergeCell ref="F92:G92"/>
    <mergeCell ref="A91:I91"/>
    <mergeCell ref="J91:L91"/>
    <mergeCell ref="A88:C89"/>
    <mergeCell ref="D88:E88"/>
    <mergeCell ref="F88:G88"/>
    <mergeCell ref="D89:E89"/>
    <mergeCell ref="F89:G89"/>
    <mergeCell ref="A90:I90"/>
    <mergeCell ref="L49:L50"/>
    <mergeCell ref="A50:B50"/>
    <mergeCell ref="A86:I86"/>
    <mergeCell ref="J88:K88"/>
    <mergeCell ref="J86:K86"/>
    <mergeCell ref="J90:L90"/>
    <mergeCell ref="A87:I87"/>
    <mergeCell ref="M57:N57"/>
    <mergeCell ref="A51:B51"/>
    <mergeCell ref="A52:B52"/>
    <mergeCell ref="A53:B53"/>
    <mergeCell ref="M53:O53"/>
    <mergeCell ref="A54:B54"/>
    <mergeCell ref="M54:N54"/>
    <mergeCell ref="A65:B65"/>
    <mergeCell ref="A66:B66"/>
    <mergeCell ref="A67:B67"/>
    <mergeCell ref="A68:B68"/>
    <mergeCell ref="A73:B73"/>
    <mergeCell ref="A74:B74"/>
    <mergeCell ref="J84:L84"/>
    <mergeCell ref="A85:I85"/>
    <mergeCell ref="J85:L85"/>
    <mergeCell ref="A75:B75"/>
    <mergeCell ref="M64:N64"/>
    <mergeCell ref="A59:B59"/>
    <mergeCell ref="A60:B60"/>
    <mergeCell ref="M60:N60"/>
    <mergeCell ref="A61:B61"/>
    <mergeCell ref="A62:B62"/>
    <mergeCell ref="A63:B63"/>
    <mergeCell ref="A55:B55"/>
    <mergeCell ref="A56:B56"/>
    <mergeCell ref="A57:B57"/>
    <mergeCell ref="I57:J57"/>
    <mergeCell ref="A33:B33"/>
    <mergeCell ref="D33:I33"/>
    <mergeCell ref="A34:J34"/>
    <mergeCell ref="A35:B35"/>
    <mergeCell ref="A49:B49"/>
    <mergeCell ref="A58:B58"/>
    <mergeCell ref="A64:B64"/>
    <mergeCell ref="A25:F25"/>
    <mergeCell ref="A26:F26"/>
    <mergeCell ref="A27:F27"/>
    <mergeCell ref="A28:F28"/>
    <mergeCell ref="A29:F29"/>
    <mergeCell ref="A30:F30"/>
    <mergeCell ref="A31:F31"/>
    <mergeCell ref="A36:B36"/>
    <mergeCell ref="A37:B37"/>
    <mergeCell ref="A38:B38"/>
    <mergeCell ref="A40:B40"/>
    <mergeCell ref="A41:B41"/>
    <mergeCell ref="C36:G36"/>
    <mergeCell ref="A39:B39"/>
    <mergeCell ref="A44:B44"/>
    <mergeCell ref="A24:F24"/>
    <mergeCell ref="A13:F13"/>
    <mergeCell ref="A14:F14"/>
    <mergeCell ref="A15:F15"/>
    <mergeCell ref="A16:F16"/>
    <mergeCell ref="A17:F17"/>
    <mergeCell ref="A18:F18"/>
    <mergeCell ref="A22:F22"/>
    <mergeCell ref="A23:F23"/>
    <mergeCell ref="G5:J5"/>
    <mergeCell ref="A32:F32"/>
    <mergeCell ref="A127:B127"/>
    <mergeCell ref="A1:J1"/>
    <mergeCell ref="A2:D2"/>
    <mergeCell ref="F2:J2"/>
    <mergeCell ref="B3:D3"/>
    <mergeCell ref="G3:J3"/>
    <mergeCell ref="B4:D4"/>
    <mergeCell ref="G4:J4"/>
    <mergeCell ref="B8:D8"/>
    <mergeCell ref="C9:D9"/>
    <mergeCell ref="F9:G9"/>
    <mergeCell ref="B11:D11"/>
    <mergeCell ref="A12:J12"/>
    <mergeCell ref="B5:D5"/>
    <mergeCell ref="G8:J8"/>
    <mergeCell ref="B6:D6"/>
    <mergeCell ref="G6:J6"/>
    <mergeCell ref="B7:D7"/>
    <mergeCell ref="G7:J7"/>
    <mergeCell ref="A19:F19"/>
    <mergeCell ref="A20:F20"/>
    <mergeCell ref="A21:F21"/>
  </mergeCells>
  <dataValidations count="2">
    <dataValidation operator="equal" allowBlank="1" showErrorMessage="1" errorTitle="Smic minimum" error="attention tatal brut au minimum égal au smic pour 151,67 h" sqref="J33" xr:uid="{D69AD525-8540-4137-8941-90FA71A3D0CE}">
      <formula1>0</formula1>
      <formula2>0</formula2>
    </dataValidation>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D6C531FD-E11B-4021-AF9D-F55D9873F6CB}">
      <formula1>$M$3:$M$5</formula1>
      <formula2>0</formula2>
    </dataValidation>
  </dataValidations>
  <printOptions horizontalCentered="1" verticalCentered="1"/>
  <pageMargins left="0.11811023622047245" right="0.11811023622047245" top="0.35433070866141736" bottom="0.35433070866141736" header="0.31496062992125984" footer="0.31496062992125984"/>
  <pageSetup paperSize="9" scale="70" orientation="portrait" horizontalDpi="4294967293"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12</vt:i4>
      </vt:variant>
      <vt:variant>
        <vt:lpstr>Plages nommées</vt:lpstr>
      </vt:variant>
      <vt:variant>
        <vt:i4>1</vt:i4>
      </vt:variant>
    </vt:vector>
  </HeadingPairs>
  <TitlesOfParts>
    <vt:vector size="13" baseType="lpstr">
      <vt:lpstr>Enoncé</vt:lpstr>
      <vt:lpstr>Correction </vt:lpstr>
      <vt:lpstr>Masque de Saisie</vt:lpstr>
      <vt:lpstr>MATRICE IJSS ABSENCE </vt:lpstr>
      <vt:lpstr>RGDU BP JANVIER </vt:lpstr>
      <vt:lpstr>BP VERSION JANVIER 2023</vt:lpstr>
      <vt:lpstr>TABLE DES TAUX 2026 </vt:lpstr>
      <vt:lpstr>RGDU BP JUILLET </vt:lpstr>
      <vt:lpstr>BP FORMAT JUILLET 2023</vt:lpstr>
      <vt:lpstr>FEUILLE DE CONTROLE </vt:lpstr>
      <vt:lpstr>HEURES SUPPLEMENTAIRES </vt:lpstr>
      <vt:lpstr>TAUX NEUTRE </vt:lpstr>
      <vt:lpstr>TAUX2023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Bienvenue</dc:creator>
  <cp:lastModifiedBy>jacques LE CHEVANTON</cp:lastModifiedBy>
  <cp:lastPrinted>2025-04-09T07:45:42Z</cp:lastPrinted>
  <dcterms:created xsi:type="dcterms:W3CDTF">2019-09-02T13:46:41Z</dcterms:created>
  <dcterms:modified xsi:type="dcterms:W3CDTF">2026-01-19T13:03:24Z</dcterms:modified>
</cp:coreProperties>
</file>